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3040" windowHeight="9975" tabRatio="625"/>
  </bookViews>
  <sheets>
    <sheet name="User's manual" sheetId="16" r:id="rId1"/>
    <sheet name="Summary" sheetId="9" r:id="rId2"/>
    <sheet name="Graph Profile" sheetId="10" r:id="rId3"/>
    <sheet name="Low" sheetId="7" r:id="rId4"/>
    <sheet name="Medium" sheetId="8" r:id="rId5"/>
    <sheet name="High" sheetId="11" r:id="rId6"/>
    <sheet name="DataSet 1" sheetId="18" r:id="rId7"/>
    <sheet name="DataSet 2" sheetId="17" r:id="rId8"/>
  </sheets>
  <externalReferences>
    <externalReference r:id="rId9"/>
  </externalReferences>
  <definedNames>
    <definedName name="__123Graph_A" hidden="1">[1]REG!$C$3:$C$68</definedName>
    <definedName name="__123Graph_ARG" hidden="1">[1]REG!$C$3:$C$68</definedName>
    <definedName name="__123Graph_B" hidden="1">[1]REG!$D$3:$D$68</definedName>
    <definedName name="__123Graph_BRG" hidden="1">[1]REG!$D$3:$D$68</definedName>
    <definedName name="__123Graph_C" hidden="1">[1]REG!$E$3:$E$68</definedName>
    <definedName name="__123Graph_CRG" hidden="1">[1]REG!$E$3:$E$68</definedName>
    <definedName name="__123Graph_X" hidden="1">[1]REG!$B$3:$B$68</definedName>
    <definedName name="__123Graph_XRG" hidden="1">[1]REG!$B$3:$B$68</definedName>
    <definedName name="_Fill" hidden="1">[1]REG!$E$16:$E$26</definedName>
    <definedName name="_Key1" hidden="1">[1]REG!$B$3</definedName>
    <definedName name="_Key2" hidden="1">[1]REG!$C$3</definedName>
    <definedName name="_Order1" hidden="1">255</definedName>
    <definedName name="_Order2" hidden="1">255</definedName>
    <definedName name="_Regression_Out" hidden="1">[1]REG!$G$11</definedName>
    <definedName name="_Regression_X" hidden="1">[1]REG!$C$3:$C$68</definedName>
    <definedName name="_Regression_Y" hidden="1">[1]REG!$B$3:$B$68</definedName>
    <definedName name="_Sort" hidden="1">[1]REG!$A$3:$C$68</definedName>
  </definedNames>
  <calcPr calcId="125725"/>
</workbook>
</file>

<file path=xl/calcChain.xml><?xml version="1.0" encoding="utf-8"?>
<calcChain xmlns="http://schemas.openxmlformats.org/spreadsheetml/2006/main">
  <c r="A24" i="9"/>
  <c r="A23"/>
  <c r="B7" i="11"/>
  <c r="C7"/>
  <c r="D7"/>
  <c r="E7"/>
  <c r="B8"/>
  <c r="C8"/>
  <c r="D8"/>
  <c r="E8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4"/>
  <c r="C14"/>
  <c r="D14"/>
  <c r="E14"/>
  <c r="B15"/>
  <c r="C15"/>
  <c r="D15"/>
  <c r="E15"/>
  <c r="B16"/>
  <c r="C16"/>
  <c r="D16"/>
  <c r="E16"/>
  <c r="B17"/>
  <c r="C17"/>
  <c r="D17"/>
  <c r="E17"/>
  <c r="C6"/>
  <c r="D6"/>
  <c r="E6"/>
  <c r="B6"/>
  <c r="B7" i="8"/>
  <c r="C7"/>
  <c r="D7"/>
  <c r="E7"/>
  <c r="B8"/>
  <c r="C8"/>
  <c r="D8"/>
  <c r="E8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4"/>
  <c r="C14"/>
  <c r="D14"/>
  <c r="E14"/>
  <c r="B15"/>
  <c r="C15"/>
  <c r="D15"/>
  <c r="E15"/>
  <c r="B16"/>
  <c r="C16"/>
  <c r="D16"/>
  <c r="E16"/>
  <c r="B17"/>
  <c r="C17"/>
  <c r="D17"/>
  <c r="E17"/>
  <c r="C6"/>
  <c r="D6"/>
  <c r="E6"/>
  <c r="B6"/>
  <c r="B7" i="7"/>
  <c r="C7"/>
  <c r="D7"/>
  <c r="E7"/>
  <c r="B8"/>
  <c r="C8"/>
  <c r="D8"/>
  <c r="E8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4"/>
  <c r="C14"/>
  <c r="D14"/>
  <c r="E14"/>
  <c r="B15"/>
  <c r="C15"/>
  <c r="D15"/>
  <c r="E15"/>
  <c r="B16"/>
  <c r="C16"/>
  <c r="D16"/>
  <c r="E16"/>
  <c r="B17"/>
  <c r="C17"/>
  <c r="D17"/>
  <c r="E17"/>
  <c r="C6"/>
  <c r="D6"/>
  <c r="E6"/>
  <c r="B6"/>
  <c r="A18" i="9"/>
  <c r="M5" i="8"/>
  <c r="L5"/>
  <c r="K5"/>
  <c r="M5" i="11"/>
  <c r="L5"/>
  <c r="K5"/>
  <c r="G6" l="1"/>
  <c r="G7"/>
  <c r="H7"/>
  <c r="I7"/>
  <c r="G8"/>
  <c r="H8"/>
  <c r="I8"/>
  <c r="G9"/>
  <c r="H9"/>
  <c r="I9"/>
  <c r="G10"/>
  <c r="H10"/>
  <c r="I10"/>
  <c r="G11"/>
  <c r="H11"/>
  <c r="I11"/>
  <c r="G12"/>
  <c r="H12"/>
  <c r="I12"/>
  <c r="G13"/>
  <c r="H13"/>
  <c r="I13"/>
  <c r="G14"/>
  <c r="H14"/>
  <c r="I14"/>
  <c r="G15"/>
  <c r="H15"/>
  <c r="I15"/>
  <c r="G16"/>
  <c r="H16"/>
  <c r="I16"/>
  <c r="G17"/>
  <c r="I17"/>
  <c r="G18"/>
  <c r="H18"/>
  <c r="I18"/>
  <c r="G19"/>
  <c r="H19"/>
  <c r="I19"/>
  <c r="F7"/>
  <c r="F8"/>
  <c r="F9"/>
  <c r="F10"/>
  <c r="K10" s="1"/>
  <c r="M10" s="1"/>
  <c r="F11"/>
  <c r="F12"/>
  <c r="F13"/>
  <c r="F14"/>
  <c r="F16"/>
  <c r="F17"/>
  <c r="K17" s="1"/>
  <c r="M17" s="1"/>
  <c r="F18"/>
  <c r="G6" i="8"/>
  <c r="H6"/>
  <c r="I6"/>
  <c r="G7"/>
  <c r="H7"/>
  <c r="I7"/>
  <c r="G8"/>
  <c r="H8"/>
  <c r="I8"/>
  <c r="G9"/>
  <c r="H9"/>
  <c r="I9"/>
  <c r="G10"/>
  <c r="H10"/>
  <c r="I10"/>
  <c r="G11"/>
  <c r="H11"/>
  <c r="I11"/>
  <c r="G12"/>
  <c r="H12"/>
  <c r="I12"/>
  <c r="G13"/>
  <c r="H13"/>
  <c r="I13"/>
  <c r="G14"/>
  <c r="H14"/>
  <c r="G15"/>
  <c r="H15"/>
  <c r="I15"/>
  <c r="H16"/>
  <c r="I16"/>
  <c r="G17"/>
  <c r="H17"/>
  <c r="I17"/>
  <c r="G18"/>
  <c r="H18"/>
  <c r="G19"/>
  <c r="H19"/>
  <c r="I19"/>
  <c r="F7"/>
  <c r="F8"/>
  <c r="F9"/>
  <c r="K9" s="1"/>
  <c r="L9" s="1"/>
  <c r="F10"/>
  <c r="F11"/>
  <c r="K11" s="1"/>
  <c r="F12"/>
  <c r="F13"/>
  <c r="K13" s="1"/>
  <c r="L13" s="1"/>
  <c r="F14"/>
  <c r="F15"/>
  <c r="F16"/>
  <c r="F17"/>
  <c r="F19"/>
  <c r="F6"/>
  <c r="G6" i="7"/>
  <c r="H6"/>
  <c r="I6"/>
  <c r="G7"/>
  <c r="H7"/>
  <c r="I7"/>
  <c r="G8"/>
  <c r="H8"/>
  <c r="I8"/>
  <c r="G9"/>
  <c r="H9"/>
  <c r="I9"/>
  <c r="G10"/>
  <c r="H10"/>
  <c r="I10"/>
  <c r="G11"/>
  <c r="H11"/>
  <c r="I11"/>
  <c r="G12"/>
  <c r="H12"/>
  <c r="I12"/>
  <c r="G13"/>
  <c r="H13"/>
  <c r="I13"/>
  <c r="G14"/>
  <c r="H14"/>
  <c r="G15"/>
  <c r="H15"/>
  <c r="I15"/>
  <c r="H16"/>
  <c r="I16"/>
  <c r="G17"/>
  <c r="H17"/>
  <c r="I17"/>
  <c r="G18"/>
  <c r="H18"/>
  <c r="G19"/>
  <c r="H19"/>
  <c r="I19"/>
  <c r="F7"/>
  <c r="K7" s="1"/>
  <c r="F8"/>
  <c r="F9"/>
  <c r="K9" s="1"/>
  <c r="L9" s="1"/>
  <c r="F10"/>
  <c r="F11"/>
  <c r="F12"/>
  <c r="F13"/>
  <c r="K13" s="1"/>
  <c r="M13" s="1"/>
  <c r="F14"/>
  <c r="F15"/>
  <c r="F16"/>
  <c r="F17"/>
  <c r="F18"/>
  <c r="K18" s="1"/>
  <c r="M18" s="1"/>
  <c r="F19"/>
  <c r="F6"/>
  <c r="A20" i="9"/>
  <c r="A21"/>
  <c r="A17"/>
  <c r="A19"/>
  <c r="E57" i="11"/>
  <c r="E57" i="8"/>
  <c r="O5" i="11"/>
  <c r="P5"/>
  <c r="O5" i="8"/>
  <c r="P5"/>
  <c r="N5" i="11"/>
  <c r="N5" i="8"/>
  <c r="B5" i="11"/>
  <c r="C5"/>
  <c r="D5"/>
  <c r="E5"/>
  <c r="F5"/>
  <c r="G5"/>
  <c r="H5"/>
  <c r="I5"/>
  <c r="B5" i="8"/>
  <c r="C5"/>
  <c r="D5"/>
  <c r="E5"/>
  <c r="F5"/>
  <c r="G5"/>
  <c r="H5"/>
  <c r="I5"/>
  <c r="A11" i="9"/>
  <c r="A12"/>
  <c r="A22"/>
  <c r="D2" i="11"/>
  <c r="D2" i="8"/>
  <c r="A13" i="9"/>
  <c r="A14"/>
  <c r="A15"/>
  <c r="C5"/>
  <c r="D5" s="1"/>
  <c r="I52" i="11" s="1"/>
  <c r="E31"/>
  <c r="E32"/>
  <c r="E33"/>
  <c r="E34"/>
  <c r="E35"/>
  <c r="E36"/>
  <c r="E37"/>
  <c r="E38"/>
  <c r="E39"/>
  <c r="E40"/>
  <c r="E42"/>
  <c r="E43"/>
  <c r="E44"/>
  <c r="E45"/>
  <c r="E46"/>
  <c r="E48"/>
  <c r="E49"/>
  <c r="E50"/>
  <c r="E51"/>
  <c r="E52"/>
  <c r="E53"/>
  <c r="E54"/>
  <c r="E55"/>
  <c r="E56"/>
  <c r="E58"/>
  <c r="E59"/>
  <c r="E60"/>
  <c r="E30"/>
  <c r="E38" i="8"/>
  <c r="E39"/>
  <c r="E40"/>
  <c r="E42"/>
  <c r="E43"/>
  <c r="E44"/>
  <c r="E45"/>
  <c r="E46"/>
  <c r="E48"/>
  <c r="E49"/>
  <c r="E50"/>
  <c r="E51"/>
  <c r="E52"/>
  <c r="E53"/>
  <c r="E54"/>
  <c r="E55"/>
  <c r="E56"/>
  <c r="E58"/>
  <c r="E59"/>
  <c r="E60"/>
  <c r="E31"/>
  <c r="E32"/>
  <c r="E33"/>
  <c r="E34"/>
  <c r="E35"/>
  <c r="E36"/>
  <c r="E37"/>
  <c r="E30"/>
  <c r="A16" i="9"/>
  <c r="A10"/>
  <c r="H26" i="8"/>
  <c r="N26" s="1"/>
  <c r="I26"/>
  <c r="H26" i="11"/>
  <c r="I26"/>
  <c r="H26" i="7"/>
  <c r="I26"/>
  <c r="F26" i="11"/>
  <c r="G26"/>
  <c r="F6"/>
  <c r="H6"/>
  <c r="I6"/>
  <c r="F15"/>
  <c r="H17"/>
  <c r="F19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F26" i="8"/>
  <c r="G26"/>
  <c r="I14"/>
  <c r="G16"/>
  <c r="F18"/>
  <c r="I18"/>
  <c r="F20"/>
  <c r="G20"/>
  <c r="H20"/>
  <c r="I20"/>
  <c r="F21"/>
  <c r="G21"/>
  <c r="H21"/>
  <c r="I21"/>
  <c r="F22"/>
  <c r="K22" s="1"/>
  <c r="M22" s="1"/>
  <c r="G22"/>
  <c r="H22"/>
  <c r="I22"/>
  <c r="F23"/>
  <c r="K23" s="1"/>
  <c r="G23"/>
  <c r="H23"/>
  <c r="I23"/>
  <c r="F24"/>
  <c r="K24" s="1"/>
  <c r="G24"/>
  <c r="H24"/>
  <c r="I24"/>
  <c r="F25"/>
  <c r="K25" s="1"/>
  <c r="L25" s="1"/>
  <c r="G25"/>
  <c r="H25"/>
  <c r="I25"/>
  <c r="F26" i="7"/>
  <c r="G26"/>
  <c r="I14"/>
  <c r="G16"/>
  <c r="I18"/>
  <c r="F20"/>
  <c r="G20"/>
  <c r="H20"/>
  <c r="I20"/>
  <c r="F21"/>
  <c r="G21"/>
  <c r="H21"/>
  <c r="I21"/>
  <c r="F22"/>
  <c r="G22"/>
  <c r="H22"/>
  <c r="I22"/>
  <c r="F23"/>
  <c r="G23"/>
  <c r="H23"/>
  <c r="I23"/>
  <c r="F24"/>
  <c r="G24"/>
  <c r="H24"/>
  <c r="I24"/>
  <c r="F25"/>
  <c r="G25"/>
  <c r="H25"/>
  <c r="I25"/>
  <c r="I52"/>
  <c r="K18" i="11" l="1"/>
  <c r="M18" s="1"/>
  <c r="K26" i="7"/>
  <c r="M26" s="1"/>
  <c r="K14" i="11"/>
  <c r="M14" s="1"/>
  <c r="K25"/>
  <c r="L25" s="1"/>
  <c r="K23"/>
  <c r="M23" s="1"/>
  <c r="N26"/>
  <c r="K14" i="7"/>
  <c r="M14" s="1"/>
  <c r="K19" i="8"/>
  <c r="M19" s="1"/>
  <c r="K10"/>
  <c r="M10" s="1"/>
  <c r="K17"/>
  <c r="L17" s="1"/>
  <c r="K11" i="7"/>
  <c r="M11" s="1"/>
  <c r="K7" i="8"/>
  <c r="L7" s="1"/>
  <c r="K26"/>
  <c r="M26" s="1"/>
  <c r="K22" i="11"/>
  <c r="L22" s="1"/>
  <c r="K26"/>
  <c r="M26" s="1"/>
  <c r="K10" i="7"/>
  <c r="M10" s="1"/>
  <c r="K14" i="8"/>
  <c r="M14" s="1"/>
  <c r="K19" i="7"/>
  <c r="M19" s="1"/>
  <c r="K24" i="11"/>
  <c r="M24" s="1"/>
  <c r="K17" i="7"/>
  <c r="M17" s="1"/>
  <c r="K13" i="11"/>
  <c r="L13" s="1"/>
  <c r="K9"/>
  <c r="L9" s="1"/>
  <c r="K21" i="8"/>
  <c r="L21" s="1"/>
  <c r="K20"/>
  <c r="M20" s="1"/>
  <c r="K21" i="11"/>
  <c r="M21" s="1"/>
  <c r="K20"/>
  <c r="L20" s="1"/>
  <c r="K8"/>
  <c r="M8" s="1"/>
  <c r="K19"/>
  <c r="L19" s="1"/>
  <c r="K15" i="7"/>
  <c r="M15" s="1"/>
  <c r="K15" i="8"/>
  <c r="M15" s="1"/>
  <c r="K18"/>
  <c r="M18" s="1"/>
  <c r="K15" i="11"/>
  <c r="M15" s="1"/>
  <c r="K12" i="7"/>
  <c r="M12" s="1"/>
  <c r="K8"/>
  <c r="M8" s="1"/>
  <c r="K12" i="8"/>
  <c r="L12" s="1"/>
  <c r="K8"/>
  <c r="M8" s="1"/>
  <c r="K16" i="11"/>
  <c r="M16" s="1"/>
  <c r="K11"/>
  <c r="L11" s="1"/>
  <c r="K7"/>
  <c r="L7" s="1"/>
  <c r="L24" i="8"/>
  <c r="M24"/>
  <c r="L23"/>
  <c r="M23"/>
  <c r="H41" i="11"/>
  <c r="H34"/>
  <c r="H31"/>
  <c r="K6"/>
  <c r="L11" i="7"/>
  <c r="L7"/>
  <c r="M7"/>
  <c r="H41" i="8"/>
  <c r="H34"/>
  <c r="H31"/>
  <c r="K6"/>
  <c r="M11"/>
  <c r="L11"/>
  <c r="K12" i="11"/>
  <c r="H30"/>
  <c r="M9" i="8"/>
  <c r="M25"/>
  <c r="M9" i="7"/>
  <c r="L13"/>
  <c r="L14" i="11"/>
  <c r="L18" i="7"/>
  <c r="K25"/>
  <c r="K24"/>
  <c r="K23"/>
  <c r="K22"/>
  <c r="K21"/>
  <c r="K20"/>
  <c r="H41"/>
  <c r="H34"/>
  <c r="H31"/>
  <c r="K6"/>
  <c r="K16"/>
  <c r="H30"/>
  <c r="G11" i="9" s="1"/>
  <c r="K16" i="8"/>
  <c r="L8"/>
  <c r="H30"/>
  <c r="H11" i="9" s="1"/>
  <c r="M13" i="8"/>
  <c r="L17" i="11"/>
  <c r="L22" i="8"/>
  <c r="L10" i="11"/>
  <c r="N25" i="7"/>
  <c r="P25" s="1"/>
  <c r="N23"/>
  <c r="P23" s="1"/>
  <c r="N25" i="8"/>
  <c r="O25" s="1"/>
  <c r="N24"/>
  <c r="P24" s="1"/>
  <c r="N23" i="11"/>
  <c r="P23" s="1"/>
  <c r="N24"/>
  <c r="P24" s="1"/>
  <c r="N26" i="7"/>
  <c r="O26" s="1"/>
  <c r="N23" i="8"/>
  <c r="O23" s="1"/>
  <c r="N25" i="11"/>
  <c r="P25" s="1"/>
  <c r="N11" i="8"/>
  <c r="O11" s="1"/>
  <c r="O26" i="11"/>
  <c r="P26"/>
  <c r="P23" i="8"/>
  <c r="O26"/>
  <c r="P26"/>
  <c r="F2" i="11"/>
  <c r="D10" i="9" s="1"/>
  <c r="N24" i="7"/>
  <c r="P24" s="1"/>
  <c r="N22"/>
  <c r="O22" s="1"/>
  <c r="F2" i="8"/>
  <c r="C10" i="9" s="1"/>
  <c r="N22" i="8"/>
  <c r="P22" s="1"/>
  <c r="N22" i="11"/>
  <c r="P22" s="1"/>
  <c r="N21"/>
  <c r="O21" s="1"/>
  <c r="F2" i="7"/>
  <c r="B10" i="9" s="1"/>
  <c r="N21" i="8"/>
  <c r="O21" s="1"/>
  <c r="N21" i="7"/>
  <c r="O21" s="1"/>
  <c r="N20"/>
  <c r="O20" s="1"/>
  <c r="N18"/>
  <c r="P18" s="1"/>
  <c r="N6"/>
  <c r="P6" s="1"/>
  <c r="N6" i="11"/>
  <c r="P6" s="1"/>
  <c r="N17" i="7"/>
  <c r="O17" s="1"/>
  <c r="N13" i="11"/>
  <c r="O13" s="1"/>
  <c r="N19" i="7"/>
  <c r="P19" s="1"/>
  <c r="N13"/>
  <c r="O13" s="1"/>
  <c r="N11"/>
  <c r="O11" s="1"/>
  <c r="N7"/>
  <c r="O7" s="1"/>
  <c r="N15" i="8"/>
  <c r="O15" s="1"/>
  <c r="N13"/>
  <c r="O13" s="1"/>
  <c r="N9" i="11"/>
  <c r="O9" s="1"/>
  <c r="N7"/>
  <c r="O7" s="1"/>
  <c r="I41" i="8"/>
  <c r="C12" i="9" s="1"/>
  <c r="N7" i="8"/>
  <c r="O7" s="1"/>
  <c r="N17" i="11"/>
  <c r="O17" s="1"/>
  <c r="N15"/>
  <c r="O15" s="1"/>
  <c r="N15" i="7"/>
  <c r="O15" s="1"/>
  <c r="N9"/>
  <c r="O9" s="1"/>
  <c r="N20" i="8"/>
  <c r="O20" s="1"/>
  <c r="N17"/>
  <c r="O17" s="1"/>
  <c r="N9"/>
  <c r="O9" s="1"/>
  <c r="N20" i="11"/>
  <c r="P20" s="1"/>
  <c r="N19"/>
  <c r="P19" s="1"/>
  <c r="N18"/>
  <c r="P18" s="1"/>
  <c r="N11"/>
  <c r="O11" s="1"/>
  <c r="N19" i="8"/>
  <c r="P19" s="1"/>
  <c r="N18"/>
  <c r="P18" s="1"/>
  <c r="N6"/>
  <c r="P6" s="1"/>
  <c r="N16" i="11"/>
  <c r="O16" s="1"/>
  <c r="N14"/>
  <c r="P14" s="1"/>
  <c r="N12"/>
  <c r="O12" s="1"/>
  <c r="N10"/>
  <c r="P10" s="1"/>
  <c r="N8"/>
  <c r="P8" s="1"/>
  <c r="I30"/>
  <c r="N16" i="8"/>
  <c r="P16" s="1"/>
  <c r="N14"/>
  <c r="P14" s="1"/>
  <c r="N12"/>
  <c r="P12" s="1"/>
  <c r="N10"/>
  <c r="P10" s="1"/>
  <c r="N8"/>
  <c r="O8" s="1"/>
  <c r="I30"/>
  <c r="C11" i="9" s="1"/>
  <c r="N16" i="7"/>
  <c r="P16" s="1"/>
  <c r="N14"/>
  <c r="P14" s="1"/>
  <c r="N12"/>
  <c r="O12" s="1"/>
  <c r="N10"/>
  <c r="P10" s="1"/>
  <c r="N8"/>
  <c r="P8" s="1"/>
  <c r="I30"/>
  <c r="B11" i="9" s="1"/>
  <c r="I52" i="8"/>
  <c r="O22"/>
  <c r="O24" i="11"/>
  <c r="I41" i="7"/>
  <c r="I41" i="11"/>
  <c r="I31" i="7"/>
  <c r="I34"/>
  <c r="I31" i="11"/>
  <c r="I34"/>
  <c r="I31" i="8"/>
  <c r="I34"/>
  <c r="L12" i="7" l="1"/>
  <c r="L18" i="11"/>
  <c r="L23"/>
  <c r="M22"/>
  <c r="M20"/>
  <c r="L26"/>
  <c r="L16"/>
  <c r="L26" i="8"/>
  <c r="L24" i="11"/>
  <c r="L17" i="7"/>
  <c r="L14"/>
  <c r="L15"/>
  <c r="L15" i="8"/>
  <c r="L14"/>
  <c r="L10"/>
  <c r="P22" i="7"/>
  <c r="L26"/>
  <c r="L21" i="11"/>
  <c r="L19" i="7"/>
  <c r="O24" i="8"/>
  <c r="M7"/>
  <c r="O23" i="7"/>
  <c r="L10"/>
  <c r="M25" i="11"/>
  <c r="L19" i="8"/>
  <c r="M13" i="11"/>
  <c r="P25" i="8"/>
  <c r="O23" i="11"/>
  <c r="L20" i="8"/>
  <c r="M17"/>
  <c r="L8" i="7"/>
  <c r="M7" i="11"/>
  <c r="M9"/>
  <c r="M11"/>
  <c r="L15"/>
  <c r="M19"/>
  <c r="M12" i="8"/>
  <c r="M21"/>
  <c r="L8" i="11"/>
  <c r="P20" i="7"/>
  <c r="P21" i="11"/>
  <c r="L18" i="8"/>
  <c r="L16"/>
  <c r="M16"/>
  <c r="L16" i="7"/>
  <c r="M16"/>
  <c r="G12" i="9"/>
  <c r="H46" i="7"/>
  <c r="M21"/>
  <c r="L21"/>
  <c r="L23"/>
  <c r="M23"/>
  <c r="M25"/>
  <c r="L25"/>
  <c r="H32" i="8"/>
  <c r="M6"/>
  <c r="L6"/>
  <c r="H32" i="11"/>
  <c r="L6"/>
  <c r="M6"/>
  <c r="H32" i="7"/>
  <c r="M6"/>
  <c r="L6"/>
  <c r="L20"/>
  <c r="M20"/>
  <c r="L22"/>
  <c r="M22"/>
  <c r="L24"/>
  <c r="M24"/>
  <c r="L12" i="11"/>
  <c r="M12"/>
  <c r="H12" i="9"/>
  <c r="H46" i="8"/>
  <c r="H46" i="11"/>
  <c r="I12" i="9"/>
  <c r="D11"/>
  <c r="I11"/>
  <c r="O18" i="7"/>
  <c r="P7"/>
  <c r="O25" i="11"/>
  <c r="O25" i="7"/>
  <c r="P11" i="8"/>
  <c r="P26" i="7"/>
  <c r="O6"/>
  <c r="O8" i="11"/>
  <c r="O8" i="7"/>
  <c r="O24"/>
  <c r="P16" i="11"/>
  <c r="P21" i="7"/>
  <c r="O22" i="11"/>
  <c r="O14"/>
  <c r="O16" i="8"/>
  <c r="O20" i="11"/>
  <c r="P8" i="8"/>
  <c r="O12"/>
  <c r="P20"/>
  <c r="P21"/>
  <c r="O10" i="11"/>
  <c r="O10" i="8"/>
  <c r="P7"/>
  <c r="P9"/>
  <c r="P9" i="7"/>
  <c r="I32" i="11"/>
  <c r="P12"/>
  <c r="P12" i="7"/>
  <c r="O14" i="8"/>
  <c r="P15"/>
  <c r="P7" i="11"/>
  <c r="P13"/>
  <c r="O6" i="8"/>
  <c r="P17" i="7"/>
  <c r="O18" i="11"/>
  <c r="P15"/>
  <c r="P17"/>
  <c r="O18" i="8"/>
  <c r="O19"/>
  <c r="O16" i="7"/>
  <c r="O19"/>
  <c r="O10"/>
  <c r="O14"/>
  <c r="I32" i="8"/>
  <c r="O6" i="11"/>
  <c r="P13" i="8"/>
  <c r="P17"/>
  <c r="P13" i="7"/>
  <c r="P11"/>
  <c r="P15"/>
  <c r="P9" i="11"/>
  <c r="O19"/>
  <c r="P11"/>
  <c r="I46" i="8"/>
  <c r="C22" i="9" s="1"/>
  <c r="I46" i="11"/>
  <c r="D22" i="9" s="1"/>
  <c r="D12"/>
  <c r="I46" i="7"/>
  <c r="B22" i="9" s="1"/>
  <c r="B12"/>
  <c r="I32" i="7"/>
  <c r="H33" i="8" l="1"/>
  <c r="H37" s="1"/>
  <c r="H42" s="1"/>
  <c r="H13" i="9" s="1"/>
  <c r="I33" i="11"/>
  <c r="I37" s="1"/>
  <c r="I42" s="1"/>
  <c r="D13" i="9" s="1"/>
  <c r="I33" i="8"/>
  <c r="I37" s="1"/>
  <c r="I42" s="1"/>
  <c r="C13" i="9" s="1"/>
  <c r="I33" i="7"/>
  <c r="I37" s="1"/>
  <c r="I42" s="1"/>
  <c r="B13" i="9" s="1"/>
  <c r="H33" i="11"/>
  <c r="H33" i="7"/>
  <c r="H35" i="8" l="1"/>
  <c r="H36" s="1"/>
  <c r="H38" s="1"/>
  <c r="H39" s="1"/>
  <c r="H44" s="1"/>
  <c r="H15" i="9" s="1"/>
  <c r="H37" i="7"/>
  <c r="H35"/>
  <c r="H37" i="11"/>
  <c r="H35"/>
  <c r="I35" i="8"/>
  <c r="I36" s="1"/>
  <c r="I38" s="1"/>
  <c r="I39" s="1"/>
  <c r="I44" s="1"/>
  <c r="I35" i="7"/>
  <c r="I36" s="1"/>
  <c r="I38" s="1"/>
  <c r="I48" s="1"/>
  <c r="I51" s="1"/>
  <c r="I35" i="11"/>
  <c r="I36" s="1"/>
  <c r="I38" s="1"/>
  <c r="I43" s="1"/>
  <c r="D14" i="9" s="1"/>
  <c r="H36" i="11" l="1"/>
  <c r="H38" s="1"/>
  <c r="H39" s="1"/>
  <c r="H44" s="1"/>
  <c r="I15" i="9" s="1"/>
  <c r="H48" i="8"/>
  <c r="H51" s="1"/>
  <c r="H16" i="9" s="1"/>
  <c r="I43" i="8"/>
  <c r="C14" i="9" s="1"/>
  <c r="H43" i="8"/>
  <c r="H14" i="9" s="1"/>
  <c r="H36" i="7"/>
  <c r="H38" s="1"/>
  <c r="H48" s="1"/>
  <c r="H42" i="11"/>
  <c r="I13" i="9" s="1"/>
  <c r="H42" i="7"/>
  <c r="G13" i="9" s="1"/>
  <c r="I48" i="8"/>
  <c r="I49" s="1"/>
  <c r="I50" s="1"/>
  <c r="I57" s="1"/>
  <c r="C19" i="9" s="1"/>
  <c r="I39" i="7"/>
  <c r="I44" s="1"/>
  <c r="B15" i="9" s="1"/>
  <c r="I43" i="7"/>
  <c r="B14" i="9" s="1"/>
  <c r="I39" i="11"/>
  <c r="I44" s="1"/>
  <c r="D15" i="9" s="1"/>
  <c r="I48" i="11"/>
  <c r="I49" i="7"/>
  <c r="I50" s="1"/>
  <c r="C15" i="9"/>
  <c r="B16"/>
  <c r="I53" i="7"/>
  <c r="I54"/>
  <c r="I57" l="1"/>
  <c r="B19" i="9" s="1"/>
  <c r="H43" i="7"/>
  <c r="G14" i="9" s="1"/>
  <c r="H49" i="8"/>
  <c r="H50" s="1"/>
  <c r="H39" i="7"/>
  <c r="H44" s="1"/>
  <c r="G15" i="9" s="1"/>
  <c r="B28" s="1"/>
  <c r="H43" i="11"/>
  <c r="I14" i="9" s="1"/>
  <c r="H48" i="11"/>
  <c r="H51" s="1"/>
  <c r="I16" i="9" s="1"/>
  <c r="H49" i="7"/>
  <c r="H50" s="1"/>
  <c r="H51"/>
  <c r="G16" i="9" s="1"/>
  <c r="I51" i="8"/>
  <c r="C16" i="9" s="1"/>
  <c r="I51" i="11"/>
  <c r="I49"/>
  <c r="I50" s="1"/>
  <c r="I57" s="1"/>
  <c r="D19" i="9" s="1"/>
  <c r="I55" i="7"/>
  <c r="B18" i="9" s="1"/>
  <c r="H49" i="11" l="1"/>
  <c r="H50" s="1"/>
  <c r="I53" i="8"/>
  <c r="I54"/>
  <c r="I54" i="11"/>
  <c r="I53"/>
  <c r="D16" i="9"/>
  <c r="I56" i="7"/>
  <c r="B17" i="9" s="1"/>
  <c r="I55" i="8" l="1"/>
  <c r="I56" s="1"/>
  <c r="I59" s="1"/>
  <c r="C20" i="9" s="1"/>
  <c r="C23" s="1"/>
  <c r="I55" i="11"/>
  <c r="I59" i="7"/>
  <c r="I60"/>
  <c r="C18" i="9" l="1"/>
  <c r="I60" i="8"/>
  <c r="C21" i="9" s="1"/>
  <c r="C24" s="1"/>
  <c r="C17"/>
  <c r="I56" i="11"/>
  <c r="I60" s="1"/>
  <c r="D21" i="9" s="1"/>
  <c r="D24" s="1"/>
  <c r="D18"/>
  <c r="B20"/>
  <c r="B23" s="1"/>
  <c r="B21"/>
  <c r="B24" s="1"/>
  <c r="F23" l="1"/>
  <c r="G4" s="1"/>
  <c r="F24"/>
  <c r="I59" i="11"/>
  <c r="D20" i="9" s="1"/>
  <c r="D23" s="1"/>
  <c r="D17"/>
  <c r="B6" l="1"/>
  <c r="B26" s="1"/>
  <c r="C6" l="1"/>
  <c r="C25" s="1"/>
  <c r="B25"/>
  <c r="C26" l="1"/>
  <c r="D6"/>
  <c r="D25" s="1"/>
  <c r="D26" l="1"/>
</calcChain>
</file>

<file path=xl/sharedStrings.xml><?xml version="1.0" encoding="utf-8"?>
<sst xmlns="http://schemas.openxmlformats.org/spreadsheetml/2006/main" count="321" uniqueCount="121">
  <si>
    <t>Coefficient B²</t>
  </si>
  <si>
    <t>Labo 01</t>
  </si>
  <si>
    <t>Labo 02</t>
  </si>
  <si>
    <t>Labo 03</t>
  </si>
  <si>
    <t>Labo 04</t>
  </si>
  <si>
    <t>Labo 05</t>
  </si>
  <si>
    <t>Labo 06</t>
  </si>
  <si>
    <t>Labo 07</t>
  </si>
  <si>
    <t>Labo 08</t>
  </si>
  <si>
    <t>Labo 09</t>
  </si>
  <si>
    <t>Labo 10</t>
  </si>
  <si>
    <t>Labo 11</t>
  </si>
  <si>
    <t>Labo 12</t>
  </si>
  <si>
    <t>&lt;10</t>
  </si>
  <si>
    <t>&lt;100</t>
  </si>
  <si>
    <t>Low</t>
  </si>
  <si>
    <t>Medium</t>
  </si>
  <si>
    <t>High</t>
  </si>
  <si>
    <t>Levels</t>
  </si>
  <si>
    <t>Accuracy profile</t>
  </si>
  <si>
    <t>Tolerance probability (beta)</t>
  </si>
  <si>
    <t>Low Level</t>
  </si>
  <si>
    <t>Medium Level</t>
  </si>
  <si>
    <t>High Level</t>
  </si>
  <si>
    <t>Target value</t>
  </si>
  <si>
    <t>Duplicate 1</t>
  </si>
  <si>
    <t>Duplicate 2</t>
  </si>
  <si>
    <t>Number of replicates (I)</t>
  </si>
  <si>
    <t>Intermediate value for s²L</t>
  </si>
  <si>
    <t>Repeatability (within) variance (s²r)</t>
  </si>
  <si>
    <t>Precision</t>
  </si>
  <si>
    <t>Trueness</t>
  </si>
  <si>
    <t>Bias</t>
  </si>
  <si>
    <t>Variances ratio (R)</t>
  </si>
  <si>
    <t>Intermediate coefficient</t>
  </si>
  <si>
    <t>Tolerance interval probability (beta)</t>
  </si>
  <si>
    <t>Student t low</t>
  </si>
  <si>
    <t>Student high</t>
  </si>
  <si>
    <t>Lower TI limit</t>
  </si>
  <si>
    <t>Upper TI limit</t>
  </si>
  <si>
    <t>Repeatability standard deviation (sr)</t>
  </si>
  <si>
    <t>Reproducibility variance (s²R)</t>
  </si>
  <si>
    <t>Reproducibility standard deviation (sR)</t>
  </si>
  <si>
    <t>I</t>
  </si>
  <si>
    <t>SSk</t>
  </si>
  <si>
    <t>Average</t>
  </si>
  <si>
    <t>Residual SSr</t>
  </si>
  <si>
    <t>Total SSt</t>
  </si>
  <si>
    <t>Between-labs SSL</t>
  </si>
  <si>
    <t>Between-labs variance (s²L)</t>
  </si>
  <si>
    <t>Between-labs standard deviation (sL)</t>
  </si>
  <si>
    <t>Warning</t>
  </si>
  <si>
    <t>User's manual</t>
  </si>
  <si>
    <t>Acceptability limit in log (lambda)</t>
  </si>
  <si>
    <t>Coliforms</t>
  </si>
  <si>
    <t>Laboratories</t>
  </si>
  <si>
    <t>Blank Level</t>
  </si>
  <si>
    <t>Lab 01</t>
  </si>
  <si>
    <t>Lab 02</t>
  </si>
  <si>
    <t>Lab 03</t>
  </si>
  <si>
    <t>Lab 04</t>
  </si>
  <si>
    <t>Lab 05</t>
  </si>
  <si>
    <t>Lab 06</t>
  </si>
  <si>
    <t>Lab 07</t>
  </si>
  <si>
    <t>Lab 08</t>
  </si>
  <si>
    <t>Lab 09</t>
  </si>
  <si>
    <t>Lab 10</t>
  </si>
  <si>
    <t>Lab 11</t>
  </si>
  <si>
    <t>Lab 12</t>
  </si>
  <si>
    <t>Lab 13</t>
  </si>
  <si>
    <t>Lab 14</t>
  </si>
  <si>
    <t>Lab 15</t>
  </si>
  <si>
    <t>Lab 16</t>
  </si>
  <si>
    <t>Lab 17</t>
  </si>
  <si>
    <t>Lab 18</t>
  </si>
  <si>
    <t>Lab 19</t>
  </si>
  <si>
    <t>Lab 20</t>
  </si>
  <si>
    <t>Lab 21</t>
  </si>
  <si>
    <t>Tolerance Interval</t>
  </si>
  <si>
    <t>Study Name</t>
  </si>
  <si>
    <t>Date</t>
  </si>
  <si>
    <t>Coordinator</t>
  </si>
  <si>
    <t>Number of measurements (IK)</t>
  </si>
  <si>
    <t>Coverage factor</t>
  </si>
  <si>
    <t>Tolerance interval standard deviation</t>
  </si>
  <si>
    <t>beta Expectation Tolerance Interval Limits</t>
  </si>
  <si>
    <t>Tolerance Interval (TI)</t>
  </si>
  <si>
    <t>Interpolated Student t</t>
  </si>
  <si>
    <t>Corrected number of dof</t>
  </si>
  <si>
    <t>Number of participants (K)</t>
  </si>
  <si>
    <t>Enterobacteriacae</t>
  </si>
  <si>
    <t>The details of the calculations are provided in order to help understanding how accuracy profile is computed</t>
  </si>
  <si>
    <t>Reference method</t>
  </si>
  <si>
    <t>Alternative method</t>
  </si>
  <si>
    <t>Average for alternative method</t>
  </si>
  <si>
    <t>Alternative</t>
  </si>
  <si>
    <t>Reference</t>
  </si>
  <si>
    <t>Lower Acceptability Limit</t>
  </si>
  <si>
    <t>Upper Acceptability Limit</t>
  </si>
  <si>
    <t>Pooled repro standard dev of reference</t>
  </si>
  <si>
    <t>Before using this workbook, make a copy for your own use.</t>
  </si>
  <si>
    <t>1) Fill the sheets "Low", "Medium" and "High" with counting results obtained by using both methods in the appropriate cells.</t>
  </si>
  <si>
    <t>Input data are expressed as cfu/g or cfu/ml depending on the nature of the samples</t>
  </si>
  <si>
    <t>It is also possible to import data from one of the sheets called "Dataset 1" and "DataSet2". Use indirect addressing as exemplified.</t>
  </si>
  <si>
    <t>Input is limited to 2 duplicates per sample, as stated in clause 6.2.2 of ISO 16140-2, and 21 laboratories.</t>
  </si>
  <si>
    <t>2) The graph is not protected and its presentation can be modified.</t>
  </si>
  <si>
    <t>Reference method (cfu/g)</t>
  </si>
  <si>
    <t>Alternative method (cfu/g)</t>
  </si>
  <si>
    <t>Reference method (Log cfu/g)</t>
  </si>
  <si>
    <t>Alternative method (Log cfu/g)</t>
  </si>
  <si>
    <t>Free text</t>
  </si>
  <si>
    <t>New acceptability limits may be based on reference method pooled variance</t>
  </si>
  <si>
    <t>Respect the layout of data as Lab/Duplicates.</t>
  </si>
  <si>
    <t>This workbook is free for use.</t>
  </si>
  <si>
    <t xml:space="preserve">It is provided as a tool to implement the accuracy profile for the interlaboratory study (clause 6.2 of ISO 16140-2). </t>
  </si>
  <si>
    <t>Lines to be selected for the graphics are in blue.</t>
  </si>
  <si>
    <t>Data can only be put in the white cells which are not protected. If they already contain data, delete previously entered data.</t>
  </si>
  <si>
    <t>In order to improve this program, please report any error or comment to the AFNOR Secretariat of ISO/TC 34/SC 9.</t>
  </si>
  <si>
    <t>It was designed, programmed and verified by WG2 “Statistics” of ISO/TC 34/SC 9 “Food products – Microbiology”, upon request of WG 3 “Method validation” of ISO/TC 34/SC 9.</t>
  </si>
  <si>
    <t xml:space="preserve">ISO/TC34/SC9 and WG 2 cannot be held responsible for results obtained with an incorrect use of this workbook. </t>
  </si>
  <si>
    <t>In this respect, calculations described in ISO 16140-2 are to be taken as reference.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</si>
</sst>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00"/>
    <numFmt numFmtId="166" formatCode="0.00000"/>
    <numFmt numFmtId="167" formatCode="0.0000"/>
  </numFmts>
  <fonts count="18">
    <font>
      <sz val="11"/>
      <name val="Calibri"/>
      <family val="2"/>
      <scheme val="minor"/>
    </font>
    <font>
      <sz val="8"/>
      <name val="Arial"/>
      <family val="2"/>
    </font>
    <font>
      <sz val="8"/>
      <name val="Tahoma"/>
      <family val="2"/>
    </font>
    <font>
      <sz val="8"/>
      <name val="Verdana"/>
      <family val="2"/>
    </font>
    <font>
      <sz val="8"/>
      <color indexed="12"/>
      <name val="Verdana"/>
      <family val="2"/>
    </font>
    <font>
      <sz val="8"/>
      <color indexed="20"/>
      <name val="Verdana"/>
      <family val="2"/>
    </font>
    <font>
      <b/>
      <sz val="9"/>
      <color indexed="12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indexed="12"/>
      <name val="Verdana"/>
      <family val="2"/>
    </font>
    <font>
      <sz val="12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2"/>
      <color rgb="FFFFFF6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rgb="FFFFFF99"/>
        <bgColor indexed="41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2" borderId="6">
      <protection locked="0"/>
    </xf>
    <xf numFmtId="164" fontId="8" fillId="3" borderId="0"/>
    <xf numFmtId="0" fontId="5" fillId="4" borderId="0"/>
    <xf numFmtId="9" fontId="3" fillId="5" borderId="1" applyFont="0" applyAlignment="0"/>
    <xf numFmtId="0" fontId="9" fillId="6" borderId="0"/>
  </cellStyleXfs>
  <cellXfs count="86">
    <xf numFmtId="0" fontId="0" fillId="2" borderId="6" xfId="0">
      <protection locked="0"/>
    </xf>
    <xf numFmtId="0" fontId="9" fillId="6" borderId="0" xfId="4"/>
    <xf numFmtId="164" fontId="8" fillId="3" borderId="0" xfId="1"/>
    <xf numFmtId="164" fontId="8" fillId="3" borderId="2" xfId="1" applyNumberFormat="1" applyBorder="1"/>
    <xf numFmtId="164" fontId="8" fillId="3" borderId="3" xfId="1" applyNumberFormat="1" applyBorder="1"/>
    <xf numFmtId="164" fontId="8" fillId="3" borderId="4" xfId="1" applyNumberFormat="1" applyBorder="1"/>
    <xf numFmtId="164" fontId="8" fillId="3" borderId="5" xfId="1" applyNumberFormat="1" applyBorder="1"/>
    <xf numFmtId="164" fontId="4" fillId="3" borderId="0" xfId="1" applyFont="1"/>
    <xf numFmtId="0" fontId="0" fillId="2" borderId="6" xfId="0" applyBorder="1">
      <protection locked="0"/>
    </xf>
    <xf numFmtId="164" fontId="6" fillId="3" borderId="0" xfId="1" applyFont="1"/>
    <xf numFmtId="165" fontId="8" fillId="3" borderId="0" xfId="1" applyNumberFormat="1"/>
    <xf numFmtId="164" fontId="7" fillId="3" borderId="2" xfId="1" applyNumberFormat="1" applyFont="1" applyBorder="1"/>
    <xf numFmtId="164" fontId="8" fillId="3" borderId="0" xfId="1" applyBorder="1"/>
    <xf numFmtId="1" fontId="8" fillId="3" borderId="0" xfId="1" applyNumberFormat="1"/>
    <xf numFmtId="164" fontId="8" fillId="3" borderId="0" xfId="1" applyFont="1"/>
    <xf numFmtId="0" fontId="9" fillId="6" borderId="0" xfId="4" applyFont="1"/>
    <xf numFmtId="164" fontId="10" fillId="3" borderId="1" xfId="1" applyFont="1" applyBorder="1"/>
    <xf numFmtId="164" fontId="10" fillId="3" borderId="1" xfId="1" applyNumberFormat="1" applyFont="1" applyBorder="1"/>
    <xf numFmtId="164" fontId="8" fillId="3" borderId="1" xfId="1" applyFont="1" applyBorder="1"/>
    <xf numFmtId="164" fontId="8" fillId="3" borderId="1" xfId="1" applyNumberFormat="1" applyFont="1" applyBorder="1"/>
    <xf numFmtId="164" fontId="12" fillId="3" borderId="0" xfId="1" applyFont="1"/>
    <xf numFmtId="164" fontId="9" fillId="6" borderId="0" xfId="4" applyNumberFormat="1"/>
    <xf numFmtId="0" fontId="9" fillId="6" borderId="1" xfId="4" applyBorder="1" applyAlignment="1">
      <alignment horizontal="center"/>
    </xf>
    <xf numFmtId="0" fontId="9" fillId="6" borderId="1" xfId="4" applyBorder="1" applyAlignment="1">
      <alignment horizontal="left"/>
    </xf>
    <xf numFmtId="164" fontId="13" fillId="3" borderId="1" xfId="1" applyFont="1" applyBorder="1"/>
    <xf numFmtId="164" fontId="13" fillId="3" borderId="1" xfId="1" applyNumberFormat="1" applyFont="1" applyBorder="1"/>
    <xf numFmtId="2" fontId="13" fillId="3" borderId="1" xfId="1" applyNumberFormat="1" applyFont="1" applyBorder="1"/>
    <xf numFmtId="164" fontId="0" fillId="3" borderId="0" xfId="1" applyFont="1"/>
    <xf numFmtId="166" fontId="8" fillId="3" borderId="0" xfId="1" applyNumberFormat="1"/>
    <xf numFmtId="167" fontId="8" fillId="3" borderId="0" xfId="1" applyNumberFormat="1"/>
    <xf numFmtId="167" fontId="9" fillId="6" borderId="0" xfId="4" applyNumberFormat="1"/>
    <xf numFmtId="164" fontId="8" fillId="3" borderId="0" xfId="1" applyNumberFormat="1"/>
    <xf numFmtId="164" fontId="8" fillId="3" borderId="0" xfId="1" applyNumberFormat="1" applyBorder="1"/>
    <xf numFmtId="0" fontId="9" fillId="7" borderId="1" xfId="4" applyFill="1" applyBorder="1" applyAlignment="1">
      <alignment horizontal="left"/>
    </xf>
    <xf numFmtId="0" fontId="9" fillId="7" borderId="1" xfId="4" applyFill="1" applyBorder="1" applyAlignment="1">
      <alignment horizontal="center"/>
    </xf>
    <xf numFmtId="164" fontId="0" fillId="7" borderId="0" xfId="1" applyFont="1" applyFill="1"/>
    <xf numFmtId="164" fontId="8" fillId="7" borderId="0" xfId="1" applyFont="1" applyFill="1"/>
    <xf numFmtId="164" fontId="0" fillId="8" borderId="0" xfId="1" applyFont="1" applyFill="1"/>
    <xf numFmtId="164" fontId="8" fillId="8" borderId="0" xfId="1" applyFont="1" applyFill="1"/>
    <xf numFmtId="9" fontId="3" fillId="5" borderId="0" xfId="3" applyBorder="1"/>
    <xf numFmtId="9" fontId="7" fillId="5" borderId="0" xfId="3" applyFont="1" applyBorder="1"/>
    <xf numFmtId="1" fontId="8" fillId="3" borderId="1" xfId="1" applyNumberFormat="1" applyFont="1" applyBorder="1"/>
    <xf numFmtId="9" fontId="8" fillId="5" borderId="10" xfId="3" applyFont="1" applyBorder="1"/>
    <xf numFmtId="167" fontId="8" fillId="3" borderId="1" xfId="1" applyNumberFormat="1" applyFont="1" applyBorder="1"/>
    <xf numFmtId="164" fontId="0" fillId="3" borderId="1" xfId="1" applyFont="1" applyBorder="1"/>
    <xf numFmtId="164" fontId="8" fillId="3" borderId="1" xfId="1" applyNumberFormat="1" applyBorder="1"/>
    <xf numFmtId="164" fontId="8" fillId="3" borderId="0" xfId="1" applyAlignment="1"/>
    <xf numFmtId="164" fontId="11" fillId="3" borderId="0" xfId="1" applyFont="1" applyBorder="1"/>
    <xf numFmtId="164" fontId="8" fillId="3" borderId="0" xfId="1" applyFont="1" applyBorder="1"/>
    <xf numFmtId="0" fontId="0" fillId="2" borderId="6" xfId="0" applyProtection="1">
      <protection locked="0"/>
    </xf>
    <xf numFmtId="0" fontId="0" fillId="2" borderId="6" xfId="0" applyBorder="1" applyProtection="1">
      <protection locked="0"/>
    </xf>
    <xf numFmtId="164" fontId="13" fillId="3" borderId="14" xfId="1" applyNumberFormat="1" applyFont="1" applyBorder="1"/>
    <xf numFmtId="2" fontId="13" fillId="3" borderId="14" xfId="1" applyNumberFormat="1" applyFont="1" applyBorder="1"/>
    <xf numFmtId="164" fontId="8" fillId="9" borderId="0" xfId="1" applyFont="1" applyFill="1" applyBorder="1"/>
    <xf numFmtId="164" fontId="8" fillId="9" borderId="10" xfId="1" applyFont="1" applyFill="1" applyBorder="1"/>
    <xf numFmtId="2" fontId="8" fillId="9" borderId="0" xfId="1" applyNumberFormat="1" applyFill="1" applyBorder="1"/>
    <xf numFmtId="0" fontId="15" fillId="6" borderId="0" xfId="4" applyFont="1"/>
    <xf numFmtId="164" fontId="10" fillId="3" borderId="0" xfId="1" applyNumberFormat="1" applyFont="1" applyBorder="1"/>
    <xf numFmtId="1" fontId="8" fillId="3" borderId="0" xfId="1" applyNumberFormat="1" applyFont="1" applyBorder="1"/>
    <xf numFmtId="164" fontId="8" fillId="3" borderId="0" xfId="1" applyNumberFormat="1" applyFont="1" applyBorder="1"/>
    <xf numFmtId="167" fontId="8" fillId="3" borderId="0" xfId="1" applyNumberFormat="1" applyFont="1" applyBorder="1"/>
    <xf numFmtId="164" fontId="13" fillId="3" borderId="0" xfId="1" applyNumberFormat="1" applyFont="1" applyBorder="1"/>
    <xf numFmtId="2" fontId="13" fillId="3" borderId="0" xfId="1" applyNumberFormat="1" applyFont="1" applyBorder="1"/>
    <xf numFmtId="0" fontId="9" fillId="10" borderId="0" xfId="4" applyFill="1"/>
    <xf numFmtId="164" fontId="16" fillId="3" borderId="0" xfId="1" applyFont="1" applyBorder="1"/>
    <xf numFmtId="9" fontId="8" fillId="6" borderId="0" xfId="4" applyNumberFormat="1" applyFont="1"/>
    <xf numFmtId="2" fontId="8" fillId="9" borderId="16" xfId="1" applyNumberFormat="1" applyFill="1" applyBorder="1"/>
    <xf numFmtId="2" fontId="8" fillId="9" borderId="17" xfId="1" applyNumberFormat="1" applyFill="1" applyBorder="1"/>
    <xf numFmtId="2" fontId="8" fillId="9" borderId="18" xfId="1" applyNumberFormat="1" applyFill="1" applyBorder="1"/>
    <xf numFmtId="0" fontId="14" fillId="2" borderId="11" xfId="0" applyFont="1" applyBorder="1" applyAlignment="1">
      <alignment horizontal="left"/>
      <protection locked="0"/>
    </xf>
    <xf numFmtId="0" fontId="14" fillId="2" borderId="12" xfId="0" applyFont="1" applyBorder="1" applyAlignment="1">
      <alignment horizontal="left"/>
      <protection locked="0"/>
    </xf>
    <xf numFmtId="0" fontId="14" fillId="2" borderId="13" xfId="0" applyFont="1" applyBorder="1" applyAlignment="1">
      <alignment horizontal="left"/>
      <protection locked="0"/>
    </xf>
    <xf numFmtId="0" fontId="14" fillId="2" borderId="2" xfId="0" applyFont="1" applyBorder="1" applyAlignment="1">
      <alignment horizontal="left"/>
      <protection locked="0"/>
    </xf>
    <xf numFmtId="0" fontId="14" fillId="2" borderId="0" xfId="0" applyFont="1" applyBorder="1" applyAlignment="1">
      <alignment horizontal="left"/>
      <protection locked="0"/>
    </xf>
    <xf numFmtId="0" fontId="14" fillId="2" borderId="3" xfId="0" applyFont="1" applyBorder="1" applyAlignment="1">
      <alignment horizontal="left"/>
      <protection locked="0"/>
    </xf>
    <xf numFmtId="0" fontId="14" fillId="2" borderId="4" xfId="0" applyFont="1" applyBorder="1" applyAlignment="1">
      <alignment horizontal="left"/>
      <protection locked="0"/>
    </xf>
    <xf numFmtId="0" fontId="14" fillId="2" borderId="15" xfId="0" applyFont="1" applyBorder="1" applyAlignment="1">
      <alignment horizontal="left"/>
      <protection locked="0"/>
    </xf>
    <xf numFmtId="0" fontId="14" fillId="2" borderId="5" xfId="0" applyFont="1" applyBorder="1" applyAlignment="1">
      <alignment horizontal="left"/>
      <protection locked="0"/>
    </xf>
    <xf numFmtId="164" fontId="17" fillId="3" borderId="7" xfId="1" applyFont="1" applyBorder="1" applyAlignment="1">
      <alignment wrapText="1"/>
    </xf>
    <xf numFmtId="164" fontId="17" fillId="3" borderId="8" xfId="1" applyFont="1" applyBorder="1" applyAlignment="1">
      <alignment horizontal="left" wrapText="1" indent="3"/>
    </xf>
    <xf numFmtId="164" fontId="17" fillId="3" borderId="8" xfId="1" applyFont="1" applyBorder="1" applyAlignment="1">
      <alignment wrapText="1"/>
    </xf>
    <xf numFmtId="164" fontId="17" fillId="3" borderId="9" xfId="1" applyFont="1" applyBorder="1" applyAlignment="1">
      <alignment horizontal="left" wrapText="1" indent="3"/>
    </xf>
    <xf numFmtId="164" fontId="17" fillId="3" borderId="7" xfId="1" applyFont="1" applyBorder="1" applyAlignment="1">
      <alignment vertical="top"/>
    </xf>
    <xf numFmtId="164" fontId="17" fillId="3" borderId="8" xfId="1" applyFont="1" applyBorder="1" applyAlignment="1">
      <alignment vertical="top"/>
    </xf>
    <xf numFmtId="164" fontId="17" fillId="3" borderId="8" xfId="1" applyFont="1" applyBorder="1" applyAlignment="1">
      <alignment vertical="top" wrapText="1"/>
    </xf>
    <xf numFmtId="164" fontId="17" fillId="3" borderId="9" xfId="1" applyFont="1" applyBorder="1" applyAlignment="1">
      <alignment vertical="top"/>
    </xf>
  </cellXfs>
  <cellStyles count="5">
    <cellStyle name="Bloquée" xfId="1"/>
    <cellStyle name="Formule" xfId="2"/>
    <cellStyle name="Normal" xfId="0" builtinId="0" customBuiltin="1"/>
    <cellStyle name="Pourcentage" xfId="3" builtinId="5" customBuiltin="1"/>
    <cellStyle name="Titre" xfId="4" builtinId="15" customBuiltin="1"/>
  </cellStyles>
  <dxfs count="0"/>
  <tableStyles count="0" defaultTableStyle="TableStyleMedium9" defaultPivotStyle="PivotStyleLight16"/>
  <colors>
    <mruColors>
      <color rgb="FFFF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tyles" Target="styles.xml"/><Relationship Id="rId5" Type="http://schemas.openxmlformats.org/officeDocument/2006/relationships/worksheet" Target="worksheets/sheet4.xml"/><Relationship Id="rId10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11498753843908108"/>
          <c:y val="0.14100394811054709"/>
          <c:w val="0.85063740601311766"/>
          <c:h val="0.80654258319232675"/>
        </c:manualLayout>
      </c:layout>
      <c:scatterChart>
        <c:scatterStyle val="lineMarker"/>
        <c:ser>
          <c:idx val="0"/>
          <c:order val="0"/>
          <c:tx>
            <c:strRef>
              <c:f>Summary!$A$22</c:f>
              <c:strCache>
                <c:ptCount val="1"/>
                <c:pt idx="0">
                  <c:v>Bias</c:v>
                </c:pt>
              </c:strCache>
            </c:strRef>
          </c:tx>
          <c:spPr>
            <a:ln w="3175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Summary!$B$10:$D$10</c:f>
              <c:numCache>
                <c:formatCode>0.000</c:formatCode>
                <c:ptCount val="3"/>
                <c:pt idx="0">
                  <c:v>1.9643914224661554</c:v>
                </c:pt>
                <c:pt idx="1">
                  <c:v>2.8953866700839739</c:v>
                </c:pt>
                <c:pt idx="2">
                  <c:v>3.9169440415091064</c:v>
                </c:pt>
              </c:numCache>
            </c:numRef>
          </c:xVal>
          <c:yVal>
            <c:numRef>
              <c:f>Summary!$B$22:$D$22</c:f>
              <c:numCache>
                <c:formatCode>0.000</c:formatCode>
                <c:ptCount val="3"/>
                <c:pt idx="0">
                  <c:v>-6.0716828025912051E-2</c:v>
                </c:pt>
                <c:pt idx="1">
                  <c:v>5.3641862898534676E-2</c:v>
                </c:pt>
                <c:pt idx="2">
                  <c:v>0.17694217906425802</c:v>
                </c:pt>
              </c:numCache>
            </c:numRef>
          </c:yVal>
        </c:ser>
        <c:ser>
          <c:idx val="1"/>
          <c:order val="1"/>
          <c:tx>
            <c:strRef>
              <c:f>Summary!$A$23</c:f>
              <c:strCache>
                <c:ptCount val="1"/>
                <c:pt idx="0">
                  <c:v>Relative Lower TI limit (beta = 80%)</c:v>
                </c:pt>
              </c:strCache>
            </c:strRef>
          </c:tx>
          <c:spPr>
            <a:ln w="317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Summary!$B$10:$D$10</c:f>
              <c:numCache>
                <c:formatCode>0.000</c:formatCode>
                <c:ptCount val="3"/>
                <c:pt idx="0">
                  <c:v>1.9643914224661554</c:v>
                </c:pt>
                <c:pt idx="1">
                  <c:v>2.8953866700839739</c:v>
                </c:pt>
                <c:pt idx="2">
                  <c:v>3.9169440415091064</c:v>
                </c:pt>
              </c:numCache>
            </c:numRef>
          </c:xVal>
          <c:yVal>
            <c:numRef>
              <c:f>Summary!$B$23:$D$23</c:f>
              <c:numCache>
                <c:formatCode>0.000</c:formatCode>
                <c:ptCount val="3"/>
                <c:pt idx="0">
                  <c:v>-0.3890406561548696</c:v>
                </c:pt>
                <c:pt idx="1">
                  <c:v>-0.11824560688510255</c:v>
                </c:pt>
                <c:pt idx="2">
                  <c:v>-6.287454824771066E-2</c:v>
                </c:pt>
              </c:numCache>
            </c:numRef>
          </c:yVal>
        </c:ser>
        <c:ser>
          <c:idx val="2"/>
          <c:order val="2"/>
          <c:tx>
            <c:strRef>
              <c:f>Summary!$A$24</c:f>
              <c:strCache>
                <c:ptCount val="1"/>
                <c:pt idx="0">
                  <c:v>Relative Upper TI limit (beta = 80%)</c:v>
                </c:pt>
              </c:strCache>
            </c:strRef>
          </c:tx>
          <c:spPr>
            <a:ln w="317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Summary!$B$10:$D$10</c:f>
              <c:numCache>
                <c:formatCode>0.000</c:formatCode>
                <c:ptCount val="3"/>
                <c:pt idx="0">
                  <c:v>1.9643914224661554</c:v>
                </c:pt>
                <c:pt idx="1">
                  <c:v>2.8953866700839739</c:v>
                </c:pt>
                <c:pt idx="2">
                  <c:v>3.9169440415091064</c:v>
                </c:pt>
              </c:numCache>
            </c:numRef>
          </c:xVal>
          <c:yVal>
            <c:numRef>
              <c:f>Summary!$B$24:$D$24</c:f>
              <c:numCache>
                <c:formatCode>0.000</c:formatCode>
                <c:ptCount val="3"/>
                <c:pt idx="0">
                  <c:v>0.2676070001030455</c:v>
                </c:pt>
                <c:pt idx="1">
                  <c:v>0.2255293326821719</c:v>
                </c:pt>
                <c:pt idx="2">
                  <c:v>0.41675890637622626</c:v>
                </c:pt>
              </c:numCache>
            </c:numRef>
          </c:yVal>
        </c:ser>
        <c:ser>
          <c:idx val="3"/>
          <c:order val="3"/>
          <c:tx>
            <c:strRef>
              <c:f>Summary!$A$25</c:f>
              <c:strCache>
                <c:ptCount val="1"/>
                <c:pt idx="0">
                  <c:v>Lower Acceptability Limit</c:v>
                </c:pt>
              </c:strCache>
            </c:strRef>
          </c:tx>
          <c:spPr>
            <a:ln w="3175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Summary!$B$10:$D$10</c:f>
              <c:numCache>
                <c:formatCode>0.000</c:formatCode>
                <c:ptCount val="3"/>
                <c:pt idx="0">
                  <c:v>1.9643914224661554</c:v>
                </c:pt>
                <c:pt idx="1">
                  <c:v>2.8953866700839739</c:v>
                </c:pt>
                <c:pt idx="2">
                  <c:v>3.9169440415091064</c:v>
                </c:pt>
              </c:numCache>
            </c:numRef>
          </c:xVal>
          <c:yVal>
            <c:numRef>
              <c:f>Summary!$B$25:$D$25</c:f>
              <c:numCache>
                <c:formatCode>0.00</c:formatCode>
                <c:ptCount val="3"/>
                <c:pt idx="0">
                  <c:v>-0.5</c:v>
                </c:pt>
                <c:pt idx="1">
                  <c:v>-0.5</c:v>
                </c:pt>
                <c:pt idx="2">
                  <c:v>-0.5</c:v>
                </c:pt>
              </c:numCache>
            </c:numRef>
          </c:yVal>
        </c:ser>
        <c:ser>
          <c:idx val="4"/>
          <c:order val="4"/>
          <c:tx>
            <c:strRef>
              <c:f>Summary!$A$26</c:f>
              <c:strCache>
                <c:ptCount val="1"/>
                <c:pt idx="0">
                  <c:v>Upper Acceptability Limit</c:v>
                </c:pt>
              </c:strCache>
            </c:strRef>
          </c:tx>
          <c:spPr>
            <a:ln w="3175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Summary!$B$10:$D$10</c:f>
              <c:numCache>
                <c:formatCode>0.000</c:formatCode>
                <c:ptCount val="3"/>
                <c:pt idx="0">
                  <c:v>1.9643914224661554</c:v>
                </c:pt>
                <c:pt idx="1">
                  <c:v>2.8953866700839739</c:v>
                </c:pt>
                <c:pt idx="2">
                  <c:v>3.9169440415091064</c:v>
                </c:pt>
              </c:numCache>
            </c:numRef>
          </c:xVal>
          <c:yVal>
            <c:numRef>
              <c:f>Summary!$B$26:$D$26</c:f>
              <c:numCache>
                <c:formatCode>0.00</c:formatCode>
                <c:ptCount val="3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</c:numCache>
            </c:numRef>
          </c:yVal>
        </c:ser>
        <c:axId val="84670720"/>
        <c:axId val="43073920"/>
      </c:scatterChart>
      <c:valAx>
        <c:axId val="84670720"/>
        <c:scaling>
          <c:orientation val="minMax"/>
          <c:min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Levels Log(cfu/g)</a:t>
                </a:r>
              </a:p>
            </c:rich>
          </c:tx>
          <c:layout>
            <c:manualLayout>
              <c:xMode val="edge"/>
              <c:yMode val="edge"/>
              <c:x val="0.75520833333333692"/>
              <c:y val="0.91539763113367478"/>
            </c:manualLayout>
          </c:layout>
          <c:spPr>
            <a:noFill/>
            <a:ln w="25400">
              <a:noFill/>
            </a:ln>
          </c:spPr>
        </c:title>
        <c:numFmt formatCode="0.0" sourceLinked="0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43073920"/>
        <c:crossesAt val="0"/>
        <c:crossBetween val="midCat"/>
      </c:valAx>
      <c:valAx>
        <c:axId val="430739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Accuracy (difference of  Log)</a:t>
                </a:r>
              </a:p>
            </c:rich>
          </c:tx>
          <c:layout>
            <c:manualLayout>
              <c:xMode val="edge"/>
              <c:yMode val="edge"/>
              <c:x val="8.3333333333333367E-3"/>
              <c:y val="0.24703891708967851"/>
            </c:manualLayout>
          </c:layout>
          <c:spPr>
            <a:noFill/>
            <a:ln w="25400">
              <a:noFill/>
            </a:ln>
          </c:spPr>
        </c:title>
        <c:numFmt formatCode="0.0" sourceLinked="0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8467072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81944444444524"/>
          <c:y val="4.7377326565143832E-2"/>
          <c:w val="0.75998753660047702"/>
          <c:h val="0.12215670352484662"/>
        </c:manualLayout>
      </c:layout>
      <c:spPr>
        <a:noFill/>
        <a:ln w="3175">
          <a:noFill/>
          <a:prstDash val="solid"/>
        </a:ln>
      </c:spPr>
      <c:txPr>
        <a:bodyPr/>
        <a:lstStyle/>
        <a:p>
          <a:pPr>
            <a:defRPr sz="1200"/>
          </a:pPr>
          <a:endParaRPr lang="fr-FR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ph2"/>
  <sheetViews>
    <sheetView workbookViewId="0"/>
  </sheetView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Header>&amp;C&amp;"Arial,Gras"Accuracy Profile&amp;R&amp;D</oddHeader>
    <oddFooter>&amp;C&amp;"Verdana,Gras"&amp;A&amp;R&amp;"Verdana,Gras"&amp;P</oddFoot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20</xdr:row>
      <xdr:rowOff>133347</xdr:rowOff>
    </xdr:from>
    <xdr:to>
      <xdr:col>8</xdr:col>
      <xdr:colOff>577724</xdr:colOff>
      <xdr:row>25</xdr:row>
      <xdr:rowOff>161924</xdr:rowOff>
    </xdr:to>
    <xdr:sp macro="" textlink="">
      <xdr:nvSpPr>
        <xdr:cNvPr id="2" name="Légende à une bordure 1 1"/>
        <xdr:cNvSpPr/>
      </xdr:nvSpPr>
      <xdr:spPr>
        <a:xfrm>
          <a:off x="6362700" y="4057647"/>
          <a:ext cx="2006474" cy="981077"/>
        </a:xfrm>
        <a:prstGeom prst="accentCallout1">
          <a:avLst>
            <a:gd name="adj1" fmla="val 47438"/>
            <a:gd name="adj2" fmla="val -10997"/>
            <a:gd name="adj3" fmla="val 47372"/>
            <a:gd name="adj4" fmla="val -53606"/>
          </a:avLst>
        </a:prstGeom>
        <a:noFill/>
        <a:ln w="28575">
          <a:solidFill>
            <a:srgbClr val="0000FF"/>
          </a:solidFill>
          <a:headEnd type="none"/>
          <a:tailEnd type="arrow" w="med" len="lg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lang="fr-FR" sz="1100">
              <a:solidFill>
                <a:sysClr val="windowText" lastClr="000000"/>
              </a:solidFill>
            </a:rPr>
            <a:t>Select  ALL blue lines to draw</a:t>
          </a:r>
          <a:r>
            <a:rPr lang="fr-FR" sz="1100" baseline="0">
              <a:solidFill>
                <a:sysClr val="windowText" lastClr="000000"/>
              </a:solidFill>
            </a:rPr>
            <a:t> the accuracy profile as illustrated in the worksheet "Graph Profile"</a:t>
          </a:r>
          <a:endParaRPr lang="fr-FR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123825</xdr:colOff>
      <xdr:row>0</xdr:row>
      <xdr:rowOff>28576</xdr:rowOff>
    </xdr:from>
    <xdr:to>
      <xdr:col>11</xdr:col>
      <xdr:colOff>237525</xdr:colOff>
      <xdr:row>6</xdr:row>
      <xdr:rowOff>167851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 flipH="1">
          <a:off x="6943725" y="28576"/>
          <a:ext cx="3276000" cy="1368000"/>
        </a:xfrm>
        <a:prstGeom prst="homePlate">
          <a:avLst>
            <a:gd name="adj" fmla="val 29808"/>
          </a:avLst>
        </a:prstGeom>
        <a:solidFill>
          <a:schemeClr val="bg2">
            <a:lumMod val="90000"/>
          </a:schemeClr>
        </a:solidFill>
        <a:ln w="12700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fr-FR" sz="1100" b="0">
              <a:latin typeface="+mn-lt"/>
              <a:ea typeface="+mn-ea"/>
              <a:cs typeface="+mn-cs"/>
            </a:rPr>
            <a:t>Application of clause 6.2.3 </a:t>
          </a:r>
          <a:endParaRPr lang="fr-FR" sz="1100" b="0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+mn-lt"/>
            </a:rPr>
            <a:t>Step 8: If any of the values for the </a:t>
          </a:r>
          <a:r>
            <a:rPr lang="el-GR" sz="1100" b="0" i="0" u="none" strike="noStrike" baseline="0">
              <a:solidFill>
                <a:srgbClr val="000000"/>
              </a:solidFill>
              <a:latin typeface="+mn-lt"/>
            </a:rPr>
            <a:t>β-</a:t>
          </a:r>
          <a:r>
            <a:rPr lang="fr-FR" sz="1100" b="0" i="0" u="none" strike="noStrike" baseline="0">
              <a:solidFill>
                <a:srgbClr val="000000"/>
              </a:solidFill>
              <a:latin typeface="+mn-lt"/>
            </a:rPr>
            <a:t>ETI fall outside the acceptability limits, calculate the pooled average reproducibility standard deviation of the reference method.</a:t>
          </a:r>
        </a:p>
        <a:p>
          <a:pPr algn="ctr" rtl="0">
            <a:defRPr sz="1000"/>
          </a:pPr>
          <a:r>
            <a:rPr lang="fr-FR" sz="1100" b="0" baseline="0" smtClean="0">
              <a:latin typeface="+mn-lt"/>
              <a:ea typeface="+mn-ea"/>
              <a:cs typeface="+mn-cs"/>
            </a:rPr>
            <a:t>Step 9: Calculate new acceptability limits as a function of this standard deviation</a:t>
          </a:r>
          <a:r>
            <a:rPr lang="fr-FR" sz="1100" b="0" i="0" u="none" strike="noStrike" baseline="0" smtClean="0">
              <a:solidFill>
                <a:srgbClr val="000000"/>
              </a:solidFill>
              <a:latin typeface="+mn-lt"/>
              <a:ea typeface="+mn-ea"/>
              <a:cs typeface="+mn-cs"/>
            </a:rPr>
            <a:t>.</a:t>
          </a:r>
          <a:endParaRPr lang="fr-FR" sz="1100" b="0" i="0" u="none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579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RDAeschlJM\My%20Documents\N_to_31dec03\STAT_GEN\Regression\Regression%20-%20RD030xxx\REGasch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G"/>
    </sheetNames>
    <sheetDataSet>
      <sheetData sheetId="0">
        <row r="3">
          <cell r="A3">
            <v>1</v>
          </cell>
          <cell r="B3">
            <v>4.4000000000000004</v>
          </cell>
          <cell r="C3">
            <v>2.5499999999999998</v>
          </cell>
          <cell r="D3">
            <v>2.1457030266881341</v>
          </cell>
          <cell r="E3">
            <v>-2.8175249779558258</v>
          </cell>
        </row>
        <row r="4">
          <cell r="A4">
            <v>2</v>
          </cell>
          <cell r="B4">
            <v>4.7</v>
          </cell>
          <cell r="C4">
            <v>3.55</v>
          </cell>
          <cell r="D4">
            <v>2.3298603044346251</v>
          </cell>
          <cell r="E4">
            <v>-2.2426711054017554</v>
          </cell>
        </row>
        <row r="5">
          <cell r="A5">
            <v>3</v>
          </cell>
          <cell r="B5">
            <v>4.95</v>
          </cell>
          <cell r="C5">
            <v>2.1</v>
          </cell>
          <cell r="D5">
            <v>2.4833247025567013</v>
          </cell>
          <cell r="E5">
            <v>-1.7636262116066965</v>
          </cell>
        </row>
        <row r="6">
          <cell r="A6">
            <v>4</v>
          </cell>
          <cell r="B6">
            <v>5.05</v>
          </cell>
          <cell r="C6">
            <v>3.05</v>
          </cell>
          <cell r="D6">
            <v>2.5447104618055314</v>
          </cell>
          <cell r="E6">
            <v>-1.5720082540886737</v>
          </cell>
        </row>
        <row r="7">
          <cell r="A7">
            <v>5</v>
          </cell>
          <cell r="B7">
            <v>5.8</v>
          </cell>
          <cell r="C7">
            <v>2.1</v>
          </cell>
          <cell r="D7">
            <v>3.0051036561717597</v>
          </cell>
          <cell r="E7">
            <v>-0.1348735727034972</v>
          </cell>
        </row>
        <row r="8">
          <cell r="A8">
            <v>6</v>
          </cell>
          <cell r="B8">
            <v>5.8</v>
          </cell>
          <cell r="C8">
            <v>3.6</v>
          </cell>
          <cell r="D8">
            <v>3.0051036561717597</v>
          </cell>
          <cell r="E8">
            <v>-0.1348735727034972</v>
          </cell>
        </row>
        <row r="9">
          <cell r="A9">
            <v>7</v>
          </cell>
          <cell r="B9">
            <v>5.8</v>
          </cell>
          <cell r="C9">
            <v>4.95</v>
          </cell>
          <cell r="D9">
            <v>3.0051036561717597</v>
          </cell>
          <cell r="E9">
            <v>-0.1348735727034972</v>
          </cell>
        </row>
        <row r="10">
          <cell r="A10">
            <v>8</v>
          </cell>
          <cell r="B10">
            <v>5.9</v>
          </cell>
          <cell r="C10">
            <v>3.55</v>
          </cell>
          <cell r="D10">
            <v>3.0664894154205906</v>
          </cell>
          <cell r="E10">
            <v>5.6744384814527371E-2</v>
          </cell>
        </row>
        <row r="11">
          <cell r="A11">
            <v>9</v>
          </cell>
          <cell r="B11">
            <v>5.98</v>
          </cell>
          <cell r="C11">
            <v>1.4</v>
          </cell>
          <cell r="D11">
            <v>3.1155980228196549</v>
          </cell>
          <cell r="E11">
            <v>0.21003875082894635</v>
          </cell>
          <cell r="G11" t="str">
            <v>x|y</v>
          </cell>
        </row>
        <row r="12">
          <cell r="A12">
            <v>10</v>
          </cell>
          <cell r="B12">
            <v>6.15</v>
          </cell>
          <cell r="C12">
            <v>0</v>
          </cell>
          <cell r="D12">
            <v>3.2199538135426664</v>
          </cell>
          <cell r="E12">
            <v>0.53578927860958625</v>
          </cell>
        </row>
        <row r="13">
          <cell r="A13">
            <v>11</v>
          </cell>
          <cell r="B13">
            <v>6.4</v>
          </cell>
          <cell r="C13">
            <v>4.7</v>
          </cell>
          <cell r="D13">
            <v>3.3734182116647426</v>
          </cell>
          <cell r="E13">
            <v>1.014834172404645</v>
          </cell>
        </row>
        <row r="14">
          <cell r="A14">
            <v>12</v>
          </cell>
          <cell r="B14">
            <v>6.65</v>
          </cell>
          <cell r="C14">
            <v>3.8</v>
          </cell>
          <cell r="D14">
            <v>3.5268826097868184</v>
          </cell>
          <cell r="E14">
            <v>1.4938790661997039</v>
          </cell>
        </row>
        <row r="15">
          <cell r="A15">
            <v>13</v>
          </cell>
          <cell r="B15">
            <v>6.8</v>
          </cell>
          <cell r="C15">
            <v>4.5999999999999996</v>
          </cell>
          <cell r="D15">
            <v>3.6189612486600642</v>
          </cell>
          <cell r="E15">
            <v>1.7813060024767382</v>
          </cell>
        </row>
        <row r="16">
          <cell r="A16">
            <v>14</v>
          </cell>
          <cell r="B16">
            <v>6.9</v>
          </cell>
          <cell r="C16">
            <v>5.4</v>
          </cell>
          <cell r="D16">
            <v>3.6803470079088947</v>
          </cell>
          <cell r="E16">
            <v>1.9729239599947628</v>
          </cell>
        </row>
        <row r="17">
          <cell r="A17">
            <v>15</v>
          </cell>
          <cell r="B17">
            <v>7.05</v>
          </cell>
          <cell r="C17">
            <v>2.1</v>
          </cell>
          <cell r="D17">
            <v>3.7724256467821404</v>
          </cell>
          <cell r="E17">
            <v>2.2603508962717971</v>
          </cell>
        </row>
        <row r="18">
          <cell r="A18">
            <v>16</v>
          </cell>
          <cell r="B18">
            <v>7.12</v>
          </cell>
          <cell r="C18">
            <v>0.7</v>
          </cell>
          <cell r="D18">
            <v>3.8153956782563214</v>
          </cell>
          <cell r="E18">
            <v>2.3944834665344139</v>
          </cell>
        </row>
        <row r="19">
          <cell r="A19">
            <v>17</v>
          </cell>
          <cell r="B19">
            <v>7.15</v>
          </cell>
          <cell r="C19">
            <v>0.75</v>
          </cell>
          <cell r="D19">
            <v>3.8338114060309709</v>
          </cell>
          <cell r="E19">
            <v>2.4519688537898214</v>
          </cell>
        </row>
        <row r="20">
          <cell r="A20">
            <v>18</v>
          </cell>
          <cell r="B20">
            <v>7.48</v>
          </cell>
          <cell r="C20">
            <v>3.25</v>
          </cell>
          <cell r="D20">
            <v>4.0363844115521115</v>
          </cell>
          <cell r="E20">
            <v>3.0843081135992994</v>
          </cell>
        </row>
        <row r="21">
          <cell r="A21">
            <v>19</v>
          </cell>
          <cell r="B21">
            <v>7.48</v>
          </cell>
          <cell r="C21">
            <v>5.2</v>
          </cell>
          <cell r="D21">
            <v>4.0363844115521115</v>
          </cell>
          <cell r="E21">
            <v>3.0843081135992994</v>
          </cell>
        </row>
        <row r="22">
          <cell r="A22">
            <v>20</v>
          </cell>
          <cell r="B22">
            <v>7.77</v>
          </cell>
          <cell r="C22">
            <v>3.83</v>
          </cell>
          <cell r="D22">
            <v>4.2144031133737192</v>
          </cell>
          <cell r="E22">
            <v>3.6400001904015662</v>
          </cell>
        </row>
        <row r="23">
          <cell r="A23">
            <v>24</v>
          </cell>
          <cell r="B23">
            <v>7.97</v>
          </cell>
          <cell r="C23">
            <v>6.15</v>
          </cell>
          <cell r="D23">
            <v>4.3371746318713802</v>
          </cell>
          <cell r="E23">
            <v>4.0232361054376131</v>
          </cell>
        </row>
        <row r="24">
          <cell r="A24">
            <v>22</v>
          </cell>
          <cell r="B24">
            <v>8</v>
          </cell>
          <cell r="C24">
            <v>4.5999999999999996</v>
          </cell>
          <cell r="D24">
            <v>4.3555903596460297</v>
          </cell>
          <cell r="E24">
            <v>4.0807214926930211</v>
          </cell>
        </row>
        <row r="25">
          <cell r="A25">
            <v>23</v>
          </cell>
          <cell r="B25">
            <v>8</v>
          </cell>
          <cell r="C25">
            <v>4.7</v>
          </cell>
          <cell r="D25">
            <v>4.3555903596460297</v>
          </cell>
          <cell r="E25">
            <v>4.0807214926930211</v>
          </cell>
        </row>
        <row r="26">
          <cell r="A26">
            <v>21</v>
          </cell>
          <cell r="B26">
            <v>8.1</v>
          </cell>
          <cell r="C26">
            <v>2.95</v>
          </cell>
          <cell r="D26">
            <v>4.4169761188948602</v>
          </cell>
          <cell r="E26">
            <v>4.2723394502110441</v>
          </cell>
        </row>
        <row r="27">
          <cell r="A27">
            <v>26</v>
          </cell>
          <cell r="B27">
            <v>8.1</v>
          </cell>
          <cell r="C27">
            <v>4.43</v>
          </cell>
          <cell r="D27">
            <v>4.4169761188948602</v>
          </cell>
          <cell r="E27">
            <v>4.2723394502110441</v>
          </cell>
        </row>
        <row r="28">
          <cell r="A28">
            <v>27</v>
          </cell>
          <cell r="B28">
            <v>8.1300000000000008</v>
          </cell>
          <cell r="C28">
            <v>5.05</v>
          </cell>
          <cell r="D28">
            <v>4.4353918466695097</v>
          </cell>
          <cell r="E28">
            <v>4.329824837466453</v>
          </cell>
        </row>
        <row r="29">
          <cell r="A29">
            <v>25</v>
          </cell>
          <cell r="B29">
            <v>8.15</v>
          </cell>
          <cell r="C29">
            <v>3.95</v>
          </cell>
          <cell r="D29">
            <v>4.4476689985192754</v>
          </cell>
          <cell r="E29">
            <v>4.3681484289700574</v>
          </cell>
        </row>
        <row r="30">
          <cell r="A30">
            <v>28</v>
          </cell>
          <cell r="B30">
            <v>8.1999999999999993</v>
          </cell>
          <cell r="C30">
            <v>5.6</v>
          </cell>
          <cell r="D30">
            <v>4.4783618781436898</v>
          </cell>
          <cell r="E30">
            <v>4.4639574077290671</v>
          </cell>
        </row>
        <row r="31">
          <cell r="A31">
            <v>29</v>
          </cell>
          <cell r="B31">
            <v>8.23</v>
          </cell>
          <cell r="C31">
            <v>5.65</v>
          </cell>
          <cell r="D31">
            <v>4.4967776059183402</v>
          </cell>
          <cell r="E31">
            <v>4.521442794984476</v>
          </cell>
        </row>
        <row r="32">
          <cell r="A32">
            <v>31</v>
          </cell>
          <cell r="B32">
            <v>8.35</v>
          </cell>
          <cell r="C32">
            <v>3.3</v>
          </cell>
          <cell r="D32">
            <v>4.5704405170169355</v>
          </cell>
          <cell r="E32">
            <v>4.7513843440061025</v>
          </cell>
        </row>
        <row r="33">
          <cell r="A33">
            <v>30</v>
          </cell>
          <cell r="B33">
            <v>8.3800000000000008</v>
          </cell>
          <cell r="C33">
            <v>2.1</v>
          </cell>
          <cell r="D33">
            <v>4.5888562447915859</v>
          </cell>
          <cell r="E33">
            <v>4.8088697312615123</v>
          </cell>
        </row>
        <row r="34">
          <cell r="A34">
            <v>35</v>
          </cell>
          <cell r="B34">
            <v>8.4499999999999993</v>
          </cell>
          <cell r="C34">
            <v>6.4</v>
          </cell>
          <cell r="D34">
            <v>4.631826276265766</v>
          </cell>
          <cell r="E34">
            <v>4.9430023015241256</v>
          </cell>
        </row>
        <row r="35">
          <cell r="A35">
            <v>33</v>
          </cell>
          <cell r="B35">
            <v>8.5</v>
          </cell>
          <cell r="C35">
            <v>5.85</v>
          </cell>
          <cell r="D35">
            <v>4.6625191558901822</v>
          </cell>
          <cell r="E35">
            <v>5.0388112802831388</v>
          </cell>
        </row>
        <row r="36">
          <cell r="A36">
            <v>34</v>
          </cell>
          <cell r="B36">
            <v>8.5</v>
          </cell>
          <cell r="C36">
            <v>6.35</v>
          </cell>
          <cell r="D36">
            <v>4.6625191558901822</v>
          </cell>
          <cell r="E36">
            <v>5.0388112802831388</v>
          </cell>
        </row>
        <row r="37">
          <cell r="A37">
            <v>32</v>
          </cell>
          <cell r="B37">
            <v>8.6</v>
          </cell>
          <cell r="C37">
            <v>4.2</v>
          </cell>
          <cell r="D37">
            <v>4.7239049151390118</v>
          </cell>
          <cell r="E37">
            <v>5.2304292378011619</v>
          </cell>
        </row>
        <row r="38">
          <cell r="A38">
            <v>36</v>
          </cell>
          <cell r="B38">
            <v>8.6</v>
          </cell>
          <cell r="C38">
            <v>6.2</v>
          </cell>
          <cell r="D38">
            <v>4.7239049151390118</v>
          </cell>
          <cell r="E38">
            <v>5.2304292378011619</v>
          </cell>
        </row>
        <row r="39">
          <cell r="A39">
            <v>37</v>
          </cell>
          <cell r="B39">
            <v>8.75</v>
          </cell>
          <cell r="C39">
            <v>4.7</v>
          </cell>
          <cell r="D39">
            <v>4.8159835540122575</v>
          </cell>
          <cell r="E39">
            <v>5.5178561740781973</v>
          </cell>
        </row>
        <row r="40">
          <cell r="A40">
            <v>38</v>
          </cell>
          <cell r="B40">
            <v>8.77</v>
          </cell>
          <cell r="C40">
            <v>6.3</v>
          </cell>
          <cell r="D40">
            <v>4.8282607058620242</v>
          </cell>
          <cell r="E40">
            <v>5.5561797655818017</v>
          </cell>
        </row>
        <row r="41">
          <cell r="A41">
            <v>39</v>
          </cell>
          <cell r="B41">
            <v>8.82</v>
          </cell>
          <cell r="C41">
            <v>6.4</v>
          </cell>
          <cell r="D41">
            <v>4.8589535854864394</v>
          </cell>
          <cell r="E41">
            <v>5.651988744340815</v>
          </cell>
        </row>
        <row r="42">
          <cell r="A42">
            <v>40</v>
          </cell>
          <cell r="B42">
            <v>8.83</v>
          </cell>
          <cell r="C42">
            <v>4.4000000000000004</v>
          </cell>
          <cell r="D42">
            <v>4.8650921614113223</v>
          </cell>
          <cell r="E42">
            <v>5.6711505400926168</v>
          </cell>
        </row>
        <row r="43">
          <cell r="A43">
            <v>41</v>
          </cell>
          <cell r="B43">
            <v>8.92</v>
          </cell>
          <cell r="C43">
            <v>4.1500000000000004</v>
          </cell>
          <cell r="D43">
            <v>4.9203393447352699</v>
          </cell>
          <cell r="E43">
            <v>5.8436067018588371</v>
          </cell>
        </row>
        <row r="44">
          <cell r="A44">
            <v>42</v>
          </cell>
          <cell r="B44">
            <v>9.0299999999999994</v>
          </cell>
          <cell r="C44">
            <v>4.45</v>
          </cell>
          <cell r="D44">
            <v>4.9878636799089824</v>
          </cell>
          <cell r="E44">
            <v>6.0543864551286619</v>
          </cell>
        </row>
        <row r="45">
          <cell r="A45">
            <v>43</v>
          </cell>
          <cell r="B45">
            <v>9.0500000000000007</v>
          </cell>
          <cell r="C45">
            <v>3.15</v>
          </cell>
          <cell r="D45">
            <v>5.0001408317587499</v>
          </cell>
          <cell r="E45">
            <v>6.0927100466322699</v>
          </cell>
        </row>
        <row r="46">
          <cell r="A46">
            <v>44</v>
          </cell>
          <cell r="B46">
            <v>9.06</v>
          </cell>
          <cell r="C46">
            <v>4.5999999999999996</v>
          </cell>
          <cell r="D46">
            <v>5.0062794076836328</v>
          </cell>
          <cell r="E46">
            <v>6.1118718423840717</v>
          </cell>
        </row>
        <row r="47">
          <cell r="A47">
            <v>45</v>
          </cell>
          <cell r="B47">
            <v>9.1</v>
          </cell>
          <cell r="C47">
            <v>2.75</v>
          </cell>
          <cell r="D47">
            <v>5.0308337113831643</v>
          </cell>
          <cell r="E47">
            <v>6.1885190253912796</v>
          </cell>
        </row>
        <row r="48">
          <cell r="A48">
            <v>46</v>
          </cell>
          <cell r="B48">
            <v>9.1</v>
          </cell>
          <cell r="C48">
            <v>6.6</v>
          </cell>
          <cell r="D48">
            <v>5.0308337113831643</v>
          </cell>
          <cell r="E48">
            <v>6.1885190253912796</v>
          </cell>
        </row>
        <row r="49">
          <cell r="A49">
            <v>47</v>
          </cell>
          <cell r="B49">
            <v>9.15</v>
          </cell>
          <cell r="C49">
            <v>7.37</v>
          </cell>
          <cell r="D49">
            <v>5.0615265910075795</v>
          </cell>
          <cell r="E49">
            <v>6.284328004150292</v>
          </cell>
        </row>
        <row r="50">
          <cell r="A50">
            <v>48</v>
          </cell>
          <cell r="B50">
            <v>9.1999999999999993</v>
          </cell>
          <cell r="C50">
            <v>5.13</v>
          </cell>
          <cell r="D50">
            <v>5.0922194706319948</v>
          </cell>
          <cell r="E50">
            <v>6.3801369829093018</v>
          </cell>
        </row>
        <row r="51">
          <cell r="A51">
            <v>49</v>
          </cell>
          <cell r="B51">
            <v>9.2200000000000006</v>
          </cell>
          <cell r="C51">
            <v>6</v>
          </cell>
          <cell r="D51">
            <v>5.1044966224817614</v>
          </cell>
          <cell r="E51">
            <v>6.4184605744129097</v>
          </cell>
        </row>
        <row r="52">
          <cell r="A52">
            <v>51</v>
          </cell>
          <cell r="B52">
            <v>9.35</v>
          </cell>
          <cell r="C52">
            <v>3.9</v>
          </cell>
          <cell r="D52">
            <v>5.1842981095052405</v>
          </cell>
          <cell r="E52">
            <v>6.6675639191863381</v>
          </cell>
        </row>
        <row r="53">
          <cell r="A53">
            <v>52</v>
          </cell>
          <cell r="B53">
            <v>9.43</v>
          </cell>
          <cell r="C53">
            <v>4.92</v>
          </cell>
          <cell r="D53">
            <v>5.2334067169043044</v>
          </cell>
          <cell r="E53">
            <v>6.8208582852007567</v>
          </cell>
        </row>
        <row r="54">
          <cell r="A54">
            <v>50</v>
          </cell>
          <cell r="B54">
            <v>9.4499999999999993</v>
          </cell>
          <cell r="C54">
            <v>2.8</v>
          </cell>
          <cell r="D54">
            <v>5.2456838687540701</v>
          </cell>
          <cell r="E54">
            <v>6.8591818767043611</v>
          </cell>
        </row>
        <row r="55">
          <cell r="A55">
            <v>53</v>
          </cell>
          <cell r="B55">
            <v>9.65</v>
          </cell>
          <cell r="C55">
            <v>4.45</v>
          </cell>
          <cell r="D55">
            <v>5.368455387251732</v>
          </cell>
          <cell r="E55">
            <v>7.2424177917404098</v>
          </cell>
        </row>
        <row r="56">
          <cell r="A56">
            <v>54</v>
          </cell>
          <cell r="B56">
            <v>9.67</v>
          </cell>
          <cell r="C56">
            <v>4.95</v>
          </cell>
          <cell r="D56">
            <v>5.3807325391014977</v>
          </cell>
          <cell r="E56">
            <v>7.2807413832440142</v>
          </cell>
        </row>
        <row r="57">
          <cell r="A57">
            <v>55</v>
          </cell>
          <cell r="B57">
            <v>9.67</v>
          </cell>
          <cell r="C57">
            <v>6.05</v>
          </cell>
          <cell r="D57">
            <v>5.3807325391014977</v>
          </cell>
          <cell r="E57">
            <v>7.2807413832440142</v>
          </cell>
        </row>
        <row r="58">
          <cell r="A58">
            <v>57</v>
          </cell>
          <cell r="B58">
            <v>9.68</v>
          </cell>
          <cell r="C58">
            <v>6.46</v>
          </cell>
          <cell r="D58">
            <v>5.3868711150263806</v>
          </cell>
          <cell r="E58">
            <v>7.299903178995816</v>
          </cell>
        </row>
        <row r="59">
          <cell r="A59">
            <v>56</v>
          </cell>
          <cell r="B59">
            <v>9.75</v>
          </cell>
          <cell r="C59">
            <v>6.2</v>
          </cell>
          <cell r="D59">
            <v>5.4298411465005625</v>
          </cell>
          <cell r="E59">
            <v>7.4340357492584328</v>
          </cell>
        </row>
        <row r="60">
          <cell r="A60">
            <v>58</v>
          </cell>
          <cell r="B60">
            <v>9.75</v>
          </cell>
          <cell r="C60">
            <v>7.35</v>
          </cell>
          <cell r="D60">
            <v>5.4298411465005625</v>
          </cell>
          <cell r="E60">
            <v>7.4340357492584328</v>
          </cell>
        </row>
        <row r="61">
          <cell r="A61">
            <v>59</v>
          </cell>
          <cell r="B61">
            <v>9.8000000000000007</v>
          </cell>
          <cell r="C61">
            <v>6.3</v>
          </cell>
          <cell r="D61">
            <v>5.4605340261249777</v>
          </cell>
          <cell r="E61">
            <v>7.5298447280174461</v>
          </cell>
        </row>
        <row r="62">
          <cell r="A62">
            <v>64</v>
          </cell>
          <cell r="B62">
            <v>9.9</v>
          </cell>
          <cell r="C62">
            <v>5.55</v>
          </cell>
          <cell r="D62">
            <v>5.5219197853738082</v>
          </cell>
          <cell r="E62">
            <v>7.7214626855354691</v>
          </cell>
        </row>
        <row r="63">
          <cell r="A63">
            <v>63</v>
          </cell>
          <cell r="B63">
            <v>9.93</v>
          </cell>
          <cell r="C63">
            <v>5.38</v>
          </cell>
          <cell r="D63">
            <v>5.5403355131484568</v>
          </cell>
          <cell r="E63">
            <v>7.7789480727908744</v>
          </cell>
        </row>
        <row r="64">
          <cell r="A64">
            <v>65</v>
          </cell>
          <cell r="B64">
            <v>10.029999999999999</v>
          </cell>
          <cell r="C64">
            <v>5.5</v>
          </cell>
          <cell r="D64">
            <v>5.6017212723972873</v>
          </cell>
          <cell r="E64">
            <v>7.9705660303088974</v>
          </cell>
        </row>
        <row r="65">
          <cell r="A65">
            <v>66</v>
          </cell>
          <cell r="B65">
            <v>10.1</v>
          </cell>
          <cell r="C65">
            <v>6.9</v>
          </cell>
          <cell r="D65">
            <v>5.6446913038714683</v>
          </cell>
          <cell r="E65">
            <v>8.1046986005715151</v>
          </cell>
        </row>
        <row r="66">
          <cell r="A66">
            <v>60</v>
          </cell>
          <cell r="B66">
            <v>10.23</v>
          </cell>
          <cell r="C66">
            <v>4.25</v>
          </cell>
          <cell r="D66">
            <v>5.7244927908949483</v>
          </cell>
          <cell r="E66">
            <v>8.3538019453449461</v>
          </cell>
        </row>
        <row r="67">
          <cell r="A67">
            <v>61</v>
          </cell>
          <cell r="B67">
            <v>10.35</v>
          </cell>
          <cell r="C67">
            <v>5.2</v>
          </cell>
          <cell r="D67">
            <v>5.7981557019935446</v>
          </cell>
          <cell r="E67">
            <v>8.5837434943665727</v>
          </cell>
        </row>
        <row r="68">
          <cell r="A68">
            <v>62</v>
          </cell>
          <cell r="B68">
            <v>10.6</v>
          </cell>
          <cell r="C68">
            <v>5.2</v>
          </cell>
          <cell r="D68">
            <v>5.9516201001156208</v>
          </cell>
          <cell r="E68">
            <v>9.062788388161632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wksMdE"/>
  <dimension ref="A1:A18"/>
  <sheetViews>
    <sheetView tabSelected="1" workbookViewId="0">
      <selection activeCell="A22" sqref="A22"/>
    </sheetView>
  </sheetViews>
  <sheetFormatPr baseColWidth="10" defaultColWidth="11.42578125" defaultRowHeight="15.75"/>
  <cols>
    <col min="1" max="1" width="113.28515625" style="20" customWidth="1"/>
    <col min="2" max="16384" width="11.42578125" style="20"/>
  </cols>
  <sheetData>
    <row r="1" spans="1:1" s="15" customFormat="1" ht="16.5" thickBot="1">
      <c r="A1" s="15" t="s">
        <v>51</v>
      </c>
    </row>
    <row r="2" spans="1:1">
      <c r="A2" s="82" t="s">
        <v>113</v>
      </c>
    </row>
    <row r="3" spans="1:1">
      <c r="A3" s="83" t="s">
        <v>100</v>
      </c>
    </row>
    <row r="4" spans="1:1" ht="15.75" customHeight="1">
      <c r="A4" s="83" t="s">
        <v>114</v>
      </c>
    </row>
    <row r="5" spans="1:1" ht="33.75" customHeight="1">
      <c r="A5" s="84" t="s">
        <v>118</v>
      </c>
    </row>
    <row r="6" spans="1:1" ht="18" customHeight="1">
      <c r="A6" s="84" t="s">
        <v>119</v>
      </c>
    </row>
    <row r="7" spans="1:1" ht="21.75" customHeight="1">
      <c r="A7" s="84" t="s">
        <v>120</v>
      </c>
    </row>
    <row r="8" spans="1:1" s="2" customFormat="1" ht="21" customHeight="1" thickBot="1">
      <c r="A8" s="85" t="s">
        <v>117</v>
      </c>
    </row>
    <row r="9" spans="1:1" s="1" customFormat="1" ht="16.5" thickBot="1">
      <c r="A9" s="1" t="s">
        <v>52</v>
      </c>
    </row>
    <row r="10" spans="1:1" ht="30">
      <c r="A10" s="78" t="s">
        <v>101</v>
      </c>
    </row>
    <row r="11" spans="1:1" ht="30">
      <c r="A11" s="79" t="s">
        <v>116</v>
      </c>
    </row>
    <row r="12" spans="1:1">
      <c r="A12" s="79" t="s">
        <v>102</v>
      </c>
    </row>
    <row r="13" spans="1:1" ht="30">
      <c r="A13" s="79" t="s">
        <v>103</v>
      </c>
    </row>
    <row r="14" spans="1:1">
      <c r="A14" s="79" t="s">
        <v>112</v>
      </c>
    </row>
    <row r="15" spans="1:1">
      <c r="A15" s="79" t="s">
        <v>104</v>
      </c>
    </row>
    <row r="16" spans="1:1">
      <c r="A16" s="79"/>
    </row>
    <row r="17" spans="1:1">
      <c r="A17" s="80" t="s">
        <v>105</v>
      </c>
    </row>
    <row r="18" spans="1:1" ht="16.5" thickBot="1">
      <c r="A18" s="81" t="s">
        <v>115</v>
      </c>
    </row>
  </sheetData>
  <sheetProtection password="8F34" sheet="1" objects="1" scenarios="1"/>
  <phoneticPr fontId="1" type="noConversion"/>
  <printOptions horizontalCentered="1" verticalCentered="1" gridLines="1"/>
  <pageMargins left="0.78740157499999996" right="0.78740157499999996" top="0.984251969" bottom="0.984251969" header="0.4921259845" footer="0.4921259845"/>
  <pageSetup paperSize="9" scale="130" orientation="landscape" verticalDpi="0" r:id="rId1"/>
  <headerFooter alignWithMargins="0">
    <oddHeader>&amp;CISO 16140-2</oddHeader>
    <oddFooter>&amp;C&amp;A&amp;R&amp;P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1"/>
  <dimension ref="A1:K33"/>
  <sheetViews>
    <sheetView zoomScaleNormal="100" workbookViewId="0">
      <selection activeCell="K21" sqref="K21"/>
    </sheetView>
  </sheetViews>
  <sheetFormatPr baseColWidth="10" defaultColWidth="11.42578125" defaultRowHeight="15"/>
  <cols>
    <col min="1" max="1" width="36.85546875" style="2" customWidth="1"/>
    <col min="2" max="4" width="14" style="2" customWidth="1"/>
    <col min="5" max="5" width="1.85546875" style="2" customWidth="1"/>
    <col min="6" max="6" width="9.5703125" style="2" bestFit="1" customWidth="1"/>
    <col min="7" max="7" width="13.85546875" style="2" customWidth="1"/>
    <col min="8" max="8" width="12.7109375" style="2" customWidth="1"/>
    <col min="9" max="9" width="11.85546875" style="2" customWidth="1"/>
    <col min="10" max="16384" width="11.42578125" style="2"/>
  </cols>
  <sheetData>
    <row r="1" spans="1:11" s="1" customFormat="1" ht="16.5" thickBot="1">
      <c r="A1" s="1" t="s">
        <v>19</v>
      </c>
      <c r="B1" s="56">
        <v>0.5</v>
      </c>
      <c r="E1" s="63"/>
      <c r="F1" s="63"/>
    </row>
    <row r="2" spans="1:11" s="1" customFormat="1" ht="15.75">
      <c r="A2" s="1" t="s">
        <v>79</v>
      </c>
      <c r="B2" s="69" t="s">
        <v>110</v>
      </c>
      <c r="C2" s="70"/>
      <c r="D2" s="71"/>
    </row>
    <row r="3" spans="1:11" s="1" customFormat="1" ht="16.5" thickBot="1">
      <c r="A3" s="1" t="s">
        <v>80</v>
      </c>
      <c r="B3" s="72" t="s">
        <v>110</v>
      </c>
      <c r="C3" s="73"/>
      <c r="D3" s="74"/>
    </row>
    <row r="4" spans="1:11" s="1" customFormat="1" ht="16.5" thickBot="1">
      <c r="A4" s="1" t="s">
        <v>81</v>
      </c>
      <c r="B4" s="75" t="s">
        <v>110</v>
      </c>
      <c r="C4" s="76"/>
      <c r="D4" s="77"/>
      <c r="G4" s="54" t="b">
        <f>OR(F23,F24)</f>
        <v>0</v>
      </c>
    </row>
    <row r="5" spans="1:11" s="1" customFormat="1" ht="16.5" thickBot="1">
      <c r="A5" s="1" t="s">
        <v>20</v>
      </c>
      <c r="B5" s="65">
        <v>0.8</v>
      </c>
      <c r="C5" s="65">
        <f>B5</f>
        <v>0.8</v>
      </c>
      <c r="D5" s="65">
        <f>C5</f>
        <v>0.8</v>
      </c>
    </row>
    <row r="6" spans="1:11" s="1" customFormat="1" ht="16.5" thickBot="1">
      <c r="A6" s="1" t="s">
        <v>53</v>
      </c>
      <c r="B6" s="66">
        <f>IF(G4,B28*3.3,$B$1)</f>
        <v>0.5</v>
      </c>
      <c r="C6" s="67">
        <f>B6</f>
        <v>0.5</v>
      </c>
      <c r="D6" s="68">
        <f>C6</f>
        <v>0.5</v>
      </c>
    </row>
    <row r="7" spans="1:11" s="1" customFormat="1" ht="15.75">
      <c r="B7" s="55"/>
      <c r="C7" s="55"/>
      <c r="D7" s="55"/>
      <c r="G7" s="53"/>
    </row>
    <row r="8" spans="1:11" s="1" customFormat="1" ht="15.75">
      <c r="B8" s="1" t="s">
        <v>93</v>
      </c>
      <c r="G8" s="1" t="s">
        <v>92</v>
      </c>
    </row>
    <row r="9" spans="1:11" s="1" customFormat="1" ht="15.75">
      <c r="A9" s="1" t="s">
        <v>18</v>
      </c>
      <c r="B9" s="1" t="s">
        <v>15</v>
      </c>
      <c r="C9" s="1" t="s">
        <v>16</v>
      </c>
      <c r="D9" s="1" t="s">
        <v>17</v>
      </c>
      <c r="G9" s="1" t="s">
        <v>15</v>
      </c>
      <c r="H9" s="1" t="s">
        <v>16</v>
      </c>
      <c r="I9" s="1" t="s">
        <v>17</v>
      </c>
    </row>
    <row r="10" spans="1:11" s="7" customFormat="1">
      <c r="A10" s="16" t="str">
        <f>Low!D2</f>
        <v>Target value</v>
      </c>
      <c r="B10" s="17">
        <f>Low!$F$2</f>
        <v>1.9643914224661554</v>
      </c>
      <c r="C10" s="17">
        <f>Medium!$F$2</f>
        <v>2.8953866700839739</v>
      </c>
      <c r="D10" s="17">
        <f>High!$F$2</f>
        <v>3.9169440415091064</v>
      </c>
      <c r="E10" s="57"/>
      <c r="F10" s="47"/>
      <c r="G10" s="14"/>
      <c r="H10" s="14"/>
      <c r="I10" s="2"/>
      <c r="J10" s="2"/>
      <c r="K10" s="2"/>
    </row>
    <row r="11" spans="1:11" s="7" customFormat="1">
      <c r="A11" s="18" t="str">
        <f>Low!E30</f>
        <v>Number of participants (K)</v>
      </c>
      <c r="B11" s="41">
        <f>Low!$I30</f>
        <v>12</v>
      </c>
      <c r="C11" s="41">
        <f>Medium!$I30</f>
        <v>12</v>
      </c>
      <c r="D11" s="41">
        <f>High!$I30</f>
        <v>12</v>
      </c>
      <c r="E11" s="58"/>
      <c r="F11" s="47"/>
      <c r="G11" s="41">
        <f>Low!$H30</f>
        <v>12</v>
      </c>
      <c r="H11" s="41">
        <f>Medium!$H30</f>
        <v>12</v>
      </c>
      <c r="I11" s="41">
        <f>High!$I30</f>
        <v>12</v>
      </c>
      <c r="J11" s="2"/>
      <c r="K11" s="2"/>
    </row>
    <row r="12" spans="1:11">
      <c r="A12" s="18" t="str">
        <f>Low!E41</f>
        <v>Average for alternative method</v>
      </c>
      <c r="B12" s="19">
        <f>Low!$I41</f>
        <v>1.9036745944402433</v>
      </c>
      <c r="C12" s="19">
        <f>Medium!$I41</f>
        <v>2.9490285329825086</v>
      </c>
      <c r="D12" s="19">
        <f>High!$I41</f>
        <v>4.0938862205733644</v>
      </c>
      <c r="E12" s="59"/>
      <c r="F12" s="48"/>
      <c r="G12" s="19">
        <f>Low!$H41</f>
        <v>1.9643914224661554</v>
      </c>
      <c r="H12" s="19">
        <f>Medium!$H41</f>
        <v>2.8953866700839739</v>
      </c>
      <c r="I12" s="19">
        <f>High!$H41</f>
        <v>3.9169440415091064</v>
      </c>
    </row>
    <row r="13" spans="1:11">
      <c r="A13" s="18" t="str">
        <f>Low!E42</f>
        <v>Repeatability standard deviation (sr)</v>
      </c>
      <c r="B13" s="19">
        <f>Low!$I42</f>
        <v>0.23167143972857931</v>
      </c>
      <c r="C13" s="19">
        <f>Medium!$I42</f>
        <v>0.11897305478997161</v>
      </c>
      <c r="D13" s="19">
        <f>High!$I42</f>
        <v>0.14345346199549289</v>
      </c>
      <c r="E13" s="59"/>
      <c r="F13" s="48"/>
      <c r="G13" s="19">
        <f>Low!$H42</f>
        <v>7.6495677624400099E-2</v>
      </c>
      <c r="H13" s="19">
        <f>Medium!$H42</f>
        <v>5.3868662536524801E-2</v>
      </c>
      <c r="I13" s="19">
        <f>High!$H42</f>
        <v>3.4689635789629011E-2</v>
      </c>
    </row>
    <row r="14" spans="1:11">
      <c r="A14" s="18" t="str">
        <f>Low!E43</f>
        <v>Between-labs standard deviation (sL)</v>
      </c>
      <c r="B14" s="19">
        <f>Low!$I43</f>
        <v>7.4044547584569118E-2</v>
      </c>
      <c r="C14" s="19">
        <f>Medium!$I43</f>
        <v>4.5033827462125815E-2</v>
      </c>
      <c r="D14" s="19">
        <f>High!$I43</f>
        <v>0.1021999710537126</v>
      </c>
      <c r="E14" s="59"/>
      <c r="F14" s="48"/>
      <c r="G14" s="19">
        <f>Low!$H43</f>
        <v>4.6368168391654356E-2</v>
      </c>
      <c r="H14" s="19">
        <f>Medium!$H43</f>
        <v>5.0208732999481066E-2</v>
      </c>
      <c r="I14" s="19">
        <f>High!$H43</f>
        <v>4.5830773405492284E-2</v>
      </c>
    </row>
    <row r="15" spans="1:11">
      <c r="A15" s="18" t="str">
        <f>Low!E44</f>
        <v>Reproducibility standard deviation (sR)</v>
      </c>
      <c r="B15" s="19">
        <f>Low!$I44</f>
        <v>0.24321646945245357</v>
      </c>
      <c r="C15" s="19">
        <f>Medium!$I44</f>
        <v>0.12721097980106161</v>
      </c>
      <c r="D15" s="19">
        <f>High!$I44</f>
        <v>0.17613554394804024</v>
      </c>
      <c r="E15" s="59"/>
      <c r="G15" s="19">
        <f>Low!$H44</f>
        <v>8.945163908622894E-2</v>
      </c>
      <c r="H15" s="19">
        <f>Medium!$H44</f>
        <v>7.3639321512946943E-2</v>
      </c>
      <c r="I15" s="19">
        <f>High!$H44</f>
        <v>5.7478958081742304E-2</v>
      </c>
    </row>
    <row r="16" spans="1:11">
      <c r="A16" s="18" t="str">
        <f>Low!E51</f>
        <v>Corrected number of dof</v>
      </c>
      <c r="B16" s="19">
        <f>Low!I51</f>
        <v>22.580565772271513</v>
      </c>
      <c r="C16" s="19">
        <f>Medium!$I51</f>
        <v>22.361628919225748</v>
      </c>
      <c r="D16" s="19">
        <f>High!$I51</f>
        <v>20.091051966126646</v>
      </c>
      <c r="E16" s="59"/>
      <c r="F16" s="48"/>
      <c r="G16" s="19">
        <f>Low!H51</f>
        <v>20.954082336742562</v>
      </c>
      <c r="H16" s="19">
        <f>Medium!$H51</f>
        <v>18.269693202642575</v>
      </c>
      <c r="I16" s="19">
        <f>High!$H51</f>
        <v>15.729236301648394</v>
      </c>
    </row>
    <row r="17" spans="1:11">
      <c r="A17" s="18" t="str">
        <f>Low!E56</f>
        <v>Coverage factor</v>
      </c>
      <c r="B17" s="19">
        <f>Low!I56</f>
        <v>1.3499243240727239</v>
      </c>
      <c r="C17" s="19">
        <f>Medium!$I56</f>
        <v>1.3511999518629803</v>
      </c>
      <c r="D17" s="19">
        <f>High!$I56</f>
        <v>1.3615464655033755</v>
      </c>
      <c r="E17" s="59"/>
      <c r="F17" s="14"/>
      <c r="G17" s="14"/>
    </row>
    <row r="18" spans="1:11">
      <c r="A18" s="18" t="str">
        <f>Low!E55</f>
        <v>Interpolated Student t</v>
      </c>
      <c r="B18" s="18">
        <f>Low!I55</f>
        <v>1.3202053655126365</v>
      </c>
      <c r="C18" s="19">
        <f>Medium!$I55</f>
        <v>1.3205943072268256</v>
      </c>
      <c r="D18" s="19">
        <f>High!$I55</f>
        <v>1.3251446873505255</v>
      </c>
      <c r="E18" s="59"/>
      <c r="F18" s="14"/>
      <c r="G18" s="14"/>
    </row>
    <row r="19" spans="1:11">
      <c r="A19" s="18" t="str">
        <f>Low!E57</f>
        <v>Tolerance interval standard deviation</v>
      </c>
      <c r="B19" s="43">
        <f>Low!I57</f>
        <v>0.24869148142074801</v>
      </c>
      <c r="C19" s="43">
        <f>Medium!$I57</f>
        <v>0.13015917821468662</v>
      </c>
      <c r="D19" s="43">
        <f>High!$I57</f>
        <v>0.18097399446354392</v>
      </c>
      <c r="E19" s="60"/>
      <c r="F19" s="14"/>
    </row>
    <row r="20" spans="1:11">
      <c r="A20" s="18" t="str">
        <f>Low!$E59</f>
        <v>Lower TI limit</v>
      </c>
      <c r="B20" s="19">
        <f>Low!$I59</f>
        <v>1.5753507663112858</v>
      </c>
      <c r="C20" s="19">
        <f>Medium!$I59</f>
        <v>2.7771410631988713</v>
      </c>
      <c r="D20" s="19">
        <f>High!$I59</f>
        <v>3.8540694932613957</v>
      </c>
      <c r="E20" s="59"/>
      <c r="F20" s="14"/>
      <c r="H20" s="14"/>
    </row>
    <row r="21" spans="1:11">
      <c r="A21" s="18" t="str">
        <f>Low!$E60</f>
        <v>Upper TI limit</v>
      </c>
      <c r="B21" s="19">
        <f>Low!$I60</f>
        <v>2.2319984225692009</v>
      </c>
      <c r="C21" s="19">
        <f>Medium!$I60</f>
        <v>3.1209160027661458</v>
      </c>
      <c r="D21" s="19">
        <f>High!$I60</f>
        <v>4.3337029478853326</v>
      </c>
      <c r="E21" s="59"/>
      <c r="F21" s="14"/>
      <c r="H21" s="14"/>
    </row>
    <row r="22" spans="1:11" s="9" customFormat="1">
      <c r="A22" s="24" t="str">
        <f>Low!$E46</f>
        <v>Bias</v>
      </c>
      <c r="B22" s="25">
        <f>Low!$I46</f>
        <v>-6.0716828025912051E-2</v>
      </c>
      <c r="C22" s="25">
        <f>Medium!$I46</f>
        <v>5.3641862898534676E-2</v>
      </c>
      <c r="D22" s="51">
        <f>High!$I46</f>
        <v>0.17694217906425802</v>
      </c>
      <c r="E22" s="61"/>
      <c r="F22" s="12"/>
      <c r="G22" s="14"/>
      <c r="H22" s="14"/>
      <c r="I22" s="2"/>
      <c r="J22" s="2"/>
      <c r="K22" s="2"/>
    </row>
    <row r="23" spans="1:11">
      <c r="A23" s="24" t="str">
        <f>"Relative Lower TI limit (beta = "&amp;TEXT($B$5,"00%") &amp;")"</f>
        <v>Relative Lower TI limit (beta = 80%)</v>
      </c>
      <c r="B23" s="25">
        <f t="shared" ref="B23:D24" si="0">B20-B$10</f>
        <v>-0.3890406561548696</v>
      </c>
      <c r="C23" s="25">
        <f t="shared" si="0"/>
        <v>-0.11824560688510255</v>
      </c>
      <c r="D23" s="51">
        <f t="shared" si="0"/>
        <v>-6.287454824771066E-2</v>
      </c>
      <c r="E23" s="61"/>
      <c r="F23" s="64" t="b">
        <f>IF(MIN(B23:D23)&lt;-$B$1,TRUE,FALSE)</f>
        <v>0</v>
      </c>
      <c r="G23" s="14"/>
      <c r="H23" s="14"/>
    </row>
    <row r="24" spans="1:11">
      <c r="A24" s="24" t="str">
        <f>"Relative Upper TI limit (beta = "&amp;TEXT($B$5,"00%") &amp;")"</f>
        <v>Relative Upper TI limit (beta = 80%)</v>
      </c>
      <c r="B24" s="25">
        <f t="shared" si="0"/>
        <v>0.2676070001030455</v>
      </c>
      <c r="C24" s="25">
        <f t="shared" si="0"/>
        <v>0.2255293326821719</v>
      </c>
      <c r="D24" s="51">
        <f t="shared" si="0"/>
        <v>0.41675890637622626</v>
      </c>
      <c r="E24" s="61"/>
      <c r="F24" s="64" t="b">
        <f>IF(MAX(B24:D24)&gt;$B$1,TRUE,FALSE)</f>
        <v>0</v>
      </c>
      <c r="G24" s="14"/>
      <c r="H24" s="14"/>
    </row>
    <row r="25" spans="1:11">
      <c r="A25" s="24" t="s">
        <v>97</v>
      </c>
      <c r="B25" s="26">
        <f>-B$6</f>
        <v>-0.5</v>
      </c>
      <c r="C25" s="26">
        <f>-C$6</f>
        <v>-0.5</v>
      </c>
      <c r="D25" s="52">
        <f>-D$6</f>
        <v>-0.5</v>
      </c>
      <c r="E25" s="62"/>
      <c r="F25" s="12"/>
      <c r="G25" s="14"/>
      <c r="H25" s="14"/>
    </row>
    <row r="26" spans="1:11">
      <c r="A26" s="24" t="s">
        <v>98</v>
      </c>
      <c r="B26" s="26">
        <f>B$6</f>
        <v>0.5</v>
      </c>
      <c r="C26" s="26">
        <f>C$6</f>
        <v>0.5</v>
      </c>
      <c r="D26" s="52">
        <f>D$6</f>
        <v>0.5</v>
      </c>
      <c r="E26" s="62"/>
      <c r="F26" s="12"/>
      <c r="G26" s="14"/>
      <c r="H26" s="14"/>
    </row>
    <row r="27" spans="1:11" ht="15.75">
      <c r="A27" s="1" t="s">
        <v>111</v>
      </c>
      <c r="B27" s="1"/>
      <c r="C27" s="1"/>
      <c r="D27" s="1"/>
    </row>
    <row r="28" spans="1:11">
      <c r="A28" s="44" t="s">
        <v>99</v>
      </c>
      <c r="B28" s="45">
        <f>SQRT(SUMSQ(G15:I15)/COUNT(G15:I15))</f>
        <v>7.467301170271809E-2</v>
      </c>
      <c r="F28" s="14"/>
      <c r="G28" s="14"/>
      <c r="H28" s="14"/>
    </row>
    <row r="32" spans="1:11">
      <c r="A32" s="14"/>
      <c r="B32" s="14"/>
      <c r="C32" s="14"/>
      <c r="D32" s="14"/>
      <c r="E32" s="14"/>
      <c r="F32" s="14"/>
      <c r="G32" s="14"/>
      <c r="H32" s="14"/>
    </row>
    <row r="33" spans="1:8">
      <c r="A33" s="46"/>
      <c r="B33" s="46"/>
      <c r="C33" s="46"/>
      <c r="D33" s="46"/>
      <c r="E33" s="46"/>
      <c r="F33" s="14"/>
      <c r="G33" s="14"/>
      <c r="H33" s="14"/>
    </row>
  </sheetData>
  <sheetProtection password="8F34" sheet="1" objects="1" scenarios="1"/>
  <mergeCells count="3">
    <mergeCell ref="B2:D2"/>
    <mergeCell ref="B3:D3"/>
    <mergeCell ref="B4:D4"/>
  </mergeCells>
  <phoneticPr fontId="1" type="noConversion"/>
  <printOptions horizontalCentered="1" verticalCentered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&amp;CISO 16140-2</oddHeader>
    <oddFooter>&amp;C&amp;A&amp;R&amp;P</oddFooter>
  </headerFooter>
  <ignoredErrors>
    <ignoredError sqref="C5:D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5"/>
  <dimension ref="A1:S60"/>
  <sheetViews>
    <sheetView zoomScaleNormal="100" workbookViewId="0">
      <selection activeCell="A17" sqref="A17"/>
    </sheetView>
  </sheetViews>
  <sheetFormatPr baseColWidth="10" defaultColWidth="11.42578125" defaultRowHeight="15"/>
  <cols>
    <col min="1" max="1" width="11.28515625" style="2" customWidth="1"/>
    <col min="2" max="5" width="13.140625" style="2" customWidth="1"/>
    <col min="6" max="6" width="15.140625" style="2" customWidth="1"/>
    <col min="7" max="7" width="13.7109375" style="2" customWidth="1"/>
    <col min="8" max="8" width="15.28515625" style="2" customWidth="1"/>
    <col min="9" max="9" width="14.28515625" style="2" customWidth="1"/>
    <col min="10" max="10" width="3.140625" style="2" customWidth="1"/>
    <col min="11" max="11" width="7" style="2" customWidth="1"/>
    <col min="12" max="12" width="6.85546875" style="2" bestFit="1" customWidth="1"/>
    <col min="13" max="13" width="9.140625" style="2" bestFit="1" customWidth="1"/>
    <col min="14" max="14" width="6.5703125" style="2" customWidth="1"/>
    <col min="15" max="15" width="7.5703125" style="2" customWidth="1"/>
    <col min="16" max="16" width="9.140625" style="2" bestFit="1" customWidth="1"/>
    <col min="17" max="17" width="4.5703125" style="2" customWidth="1"/>
    <col min="18" max="18" width="12.42578125" style="2" customWidth="1"/>
    <col min="19" max="16384" width="11.42578125" style="2"/>
  </cols>
  <sheetData>
    <row r="1" spans="1:16" s="1" customFormat="1" ht="15.75">
      <c r="A1" s="1" t="s">
        <v>21</v>
      </c>
    </row>
    <row r="2" spans="1:16" s="1" customFormat="1" ht="15.75">
      <c r="D2" s="1" t="s">
        <v>24</v>
      </c>
      <c r="F2" s="21">
        <f>AVERAGE(F6:G26)</f>
        <v>1.9643914224661554</v>
      </c>
    </row>
    <row r="4" spans="1:16" s="1" customFormat="1" ht="15.75">
      <c r="B4" s="23" t="s">
        <v>106</v>
      </c>
      <c r="C4" s="22"/>
      <c r="D4" s="33" t="s">
        <v>107</v>
      </c>
      <c r="E4" s="34"/>
      <c r="F4" s="23" t="s">
        <v>108</v>
      </c>
      <c r="G4" s="22"/>
      <c r="H4" s="33" t="s">
        <v>109</v>
      </c>
      <c r="I4" s="34"/>
      <c r="J4" s="22"/>
      <c r="K4" s="23" t="s">
        <v>92</v>
      </c>
      <c r="L4" s="22"/>
      <c r="M4" s="22"/>
      <c r="N4" s="33" t="s">
        <v>93</v>
      </c>
      <c r="O4" s="34"/>
      <c r="P4" s="34"/>
    </row>
    <row r="5" spans="1:16" s="1" customFormat="1" ht="15.75">
      <c r="B5" s="22" t="s">
        <v>25</v>
      </c>
      <c r="C5" s="22" t="s">
        <v>26</v>
      </c>
      <c r="D5" s="34" t="s">
        <v>25</v>
      </c>
      <c r="E5" s="34" t="s">
        <v>26</v>
      </c>
      <c r="F5" s="22" t="s">
        <v>25</v>
      </c>
      <c r="G5" s="22" t="s">
        <v>26</v>
      </c>
      <c r="H5" s="34" t="s">
        <v>25</v>
      </c>
      <c r="I5" s="34" t="s">
        <v>26</v>
      </c>
      <c r="J5" s="22"/>
      <c r="K5" s="22" t="s">
        <v>43</v>
      </c>
      <c r="L5" s="22" t="s">
        <v>44</v>
      </c>
      <c r="M5" s="22" t="s">
        <v>45</v>
      </c>
      <c r="N5" s="34" t="s">
        <v>43</v>
      </c>
      <c r="O5" s="34" t="s">
        <v>44</v>
      </c>
      <c r="P5" s="34" t="s">
        <v>45</v>
      </c>
    </row>
    <row r="6" spans="1:16">
      <c r="A6" s="2" t="s">
        <v>57</v>
      </c>
      <c r="B6">
        <f>'DataSet 2'!B5</f>
        <v>100</v>
      </c>
      <c r="C6" s="49">
        <f>'DataSet 2'!C5</f>
        <v>90</v>
      </c>
      <c r="D6" s="49">
        <f>'DataSet 2'!D5</f>
        <v>100</v>
      </c>
      <c r="E6" s="49">
        <f>'DataSet 2'!E5</f>
        <v>71</v>
      </c>
      <c r="F6" s="3">
        <f>IF(B6&gt;0,LOG10(B6),"")</f>
        <v>2</v>
      </c>
      <c r="G6" s="4">
        <f t="shared" ref="G6:I21" si="0">IF(C6&gt;0,LOG10(C6),"")</f>
        <v>1.954242509439325</v>
      </c>
      <c r="H6" s="3">
        <f t="shared" si="0"/>
        <v>2</v>
      </c>
      <c r="I6" s="4">
        <f t="shared" si="0"/>
        <v>1.8512583487190752</v>
      </c>
      <c r="J6" s="32"/>
      <c r="K6" s="13">
        <f>COUNT(F6:G6)</f>
        <v>2</v>
      </c>
      <c r="L6" s="2">
        <f>IF(K6=0,"",DEVSQ(F6:G6))</f>
        <v>1.0468739712051318E-3</v>
      </c>
      <c r="M6" s="2">
        <f>IF(K6=0,"",AVERAGE(F6:G6))</f>
        <v>1.9771212547196626</v>
      </c>
      <c r="N6" s="13">
        <f t="shared" ref="N6:N26" si="1">COUNT(H6:I6)</f>
        <v>2</v>
      </c>
      <c r="O6" s="2">
        <f t="shared" ref="O6:O26" si="2">IF(N6=0,"",DEVSQ(H6:I6))</f>
        <v>1.1062039412888114E-2</v>
      </c>
      <c r="P6" s="2">
        <f t="shared" ref="P6:P26" si="3">IF(N6=0,"",AVERAGE(H6:I6))</f>
        <v>1.9256291743595377</v>
      </c>
    </row>
    <row r="7" spans="1:16">
      <c r="A7" s="2" t="s">
        <v>58</v>
      </c>
      <c r="B7" s="49">
        <f>'DataSet 2'!B6</f>
        <v>110</v>
      </c>
      <c r="C7" s="49">
        <f>'DataSet 2'!C6</f>
        <v>100</v>
      </c>
      <c r="D7" s="49">
        <f>'DataSet 2'!D6</f>
        <v>100</v>
      </c>
      <c r="E7" s="49">
        <f>'DataSet 2'!E6</f>
        <v>130</v>
      </c>
      <c r="F7" s="3">
        <f t="shared" ref="F7:F26" si="4">IF(B7&gt;0,LOG10(B7),"")</f>
        <v>2.0413926851582249</v>
      </c>
      <c r="G7" s="4">
        <f t="shared" si="0"/>
        <v>2</v>
      </c>
      <c r="H7" s="3">
        <f t="shared" si="0"/>
        <v>2</v>
      </c>
      <c r="I7" s="4">
        <f t="shared" si="0"/>
        <v>2.1139433523068369</v>
      </c>
      <c r="J7" s="32"/>
      <c r="K7" s="13">
        <f t="shared" ref="K7:K26" si="5">COUNT(F7:G7)</f>
        <v>2</v>
      </c>
      <c r="L7" s="2">
        <f t="shared" ref="L7:L26" si="6">IF(K7=0,"",DEVSQ(F7:G7))</f>
        <v>8.5667719230396672E-4</v>
      </c>
      <c r="M7" s="2">
        <f t="shared" ref="M7:M26" si="7">IF(K7=0,"",AVERAGE(F7:G7))</f>
        <v>2.0206963425791127</v>
      </c>
      <c r="N7" s="13">
        <f t="shared" si="1"/>
        <v>2</v>
      </c>
      <c r="O7" s="2">
        <f t="shared" si="2"/>
        <v>6.4915437674599816E-3</v>
      </c>
      <c r="P7" s="2">
        <f t="shared" si="3"/>
        <v>2.0569716761534185</v>
      </c>
    </row>
    <row r="8" spans="1:16">
      <c r="A8" s="2" t="s">
        <v>59</v>
      </c>
      <c r="B8" s="49">
        <f>'DataSet 2'!B7</f>
        <v>85</v>
      </c>
      <c r="C8" s="49">
        <f>'DataSet 2'!C7</f>
        <v>100</v>
      </c>
      <c r="D8" s="49">
        <f>'DataSet 2'!D7</f>
        <v>73</v>
      </c>
      <c r="E8" s="49">
        <f>'DataSet 2'!E7</f>
        <v>130</v>
      </c>
      <c r="F8" s="11">
        <f t="shared" si="4"/>
        <v>1.9294189257142926</v>
      </c>
      <c r="G8" s="4">
        <f t="shared" si="0"/>
        <v>2</v>
      </c>
      <c r="H8" s="3">
        <f t="shared" si="0"/>
        <v>1.8633228601204559</v>
      </c>
      <c r="I8" s="4">
        <f t="shared" si="0"/>
        <v>2.1139433523068369</v>
      </c>
      <c r="J8" s="32"/>
      <c r="K8" s="13">
        <f t="shared" si="5"/>
        <v>2</v>
      </c>
      <c r="L8" s="2">
        <f t="shared" si="6"/>
        <v>2.4908440236622708E-3</v>
      </c>
      <c r="M8" s="2">
        <f t="shared" si="7"/>
        <v>1.9647094628571464</v>
      </c>
      <c r="N8" s="13">
        <f t="shared" si="1"/>
        <v>2</v>
      </c>
      <c r="O8" s="2">
        <f t="shared" si="2"/>
        <v>3.140531555187194E-2</v>
      </c>
      <c r="P8" s="2">
        <f t="shared" si="3"/>
        <v>1.9886331062136464</v>
      </c>
    </row>
    <row r="9" spans="1:16">
      <c r="A9" s="2" t="s">
        <v>60</v>
      </c>
      <c r="B9" s="49">
        <f>'DataSet 2'!B8</f>
        <v>95</v>
      </c>
      <c r="C9" s="49">
        <f>'DataSet 2'!C8</f>
        <v>80</v>
      </c>
      <c r="D9" s="49">
        <f>'DataSet 2'!D8</f>
        <v>44</v>
      </c>
      <c r="E9" s="49">
        <f>'DataSet 2'!E8</f>
        <v>100</v>
      </c>
      <c r="F9" s="3">
        <f t="shared" si="4"/>
        <v>1.9777236052888478</v>
      </c>
      <c r="G9" s="4">
        <f t="shared" si="0"/>
        <v>1.9030899869919435</v>
      </c>
      <c r="H9" s="3">
        <f t="shared" si="0"/>
        <v>1.6434526764861874</v>
      </c>
      <c r="I9" s="4">
        <f t="shared" si="0"/>
        <v>2</v>
      </c>
      <c r="J9" s="32"/>
      <c r="K9" s="13">
        <f t="shared" si="5"/>
        <v>2</v>
      </c>
      <c r="L9" s="2">
        <f t="shared" si="6"/>
        <v>2.7850884900440034E-3</v>
      </c>
      <c r="M9" s="2">
        <f t="shared" si="7"/>
        <v>1.9404067961403957</v>
      </c>
      <c r="N9" s="13">
        <f t="shared" si="1"/>
        <v>2</v>
      </c>
      <c r="O9" s="2">
        <f t="shared" si="2"/>
        <v>6.3562996952431658E-2</v>
      </c>
      <c r="P9" s="2">
        <f t="shared" si="3"/>
        <v>1.8217263382430937</v>
      </c>
    </row>
    <row r="10" spans="1:16">
      <c r="A10" s="2" t="s">
        <v>61</v>
      </c>
      <c r="B10" s="49">
        <f>'DataSet 2'!B9</f>
        <v>110</v>
      </c>
      <c r="C10" s="49">
        <f>'DataSet 2'!C9</f>
        <v>130</v>
      </c>
      <c r="D10" s="49">
        <f>'DataSet 2'!D9</f>
        <v>59</v>
      </c>
      <c r="E10" s="49">
        <f>'DataSet 2'!E9</f>
        <v>69</v>
      </c>
      <c r="F10" s="3">
        <f t="shared" si="4"/>
        <v>2.0413926851582249</v>
      </c>
      <c r="G10" s="4">
        <f t="shared" si="0"/>
        <v>2.1139433523068369</v>
      </c>
      <c r="H10" s="3">
        <f t="shared" si="0"/>
        <v>1.7708520116421442</v>
      </c>
      <c r="I10" s="4">
        <f t="shared" si="0"/>
        <v>1.8388490907372552</v>
      </c>
      <c r="J10" s="32"/>
      <c r="K10" s="13">
        <f t="shared" si="5"/>
        <v>2</v>
      </c>
      <c r="L10" s="2">
        <f t="shared" si="6"/>
        <v>2.6317996518543463E-3</v>
      </c>
      <c r="M10" s="2">
        <f t="shared" si="7"/>
        <v>2.0776680187325312</v>
      </c>
      <c r="N10" s="13">
        <f t="shared" si="1"/>
        <v>2</v>
      </c>
      <c r="O10" s="2">
        <f t="shared" si="2"/>
        <v>2.3118013827333902E-3</v>
      </c>
      <c r="P10" s="2">
        <f t="shared" si="3"/>
        <v>1.8048505511896997</v>
      </c>
    </row>
    <row r="11" spans="1:16">
      <c r="A11" s="2" t="s">
        <v>62</v>
      </c>
      <c r="B11" s="49">
        <f>'DataSet 2'!B10</f>
        <v>75</v>
      </c>
      <c r="C11" s="49">
        <f>'DataSet 2'!C10</f>
        <v>90</v>
      </c>
      <c r="D11" s="49">
        <f>'DataSet 2'!D10</f>
        <v>100</v>
      </c>
      <c r="E11" s="49">
        <f>'DataSet 2'!E10</f>
        <v>71</v>
      </c>
      <c r="F11" s="3">
        <f t="shared" si="4"/>
        <v>1.8750612633917001</v>
      </c>
      <c r="G11" s="4">
        <f t="shared" si="0"/>
        <v>1.954242509439325</v>
      </c>
      <c r="H11" s="3">
        <f t="shared" si="0"/>
        <v>2</v>
      </c>
      <c r="I11" s="4">
        <f t="shared" si="0"/>
        <v>1.8512583487190752</v>
      </c>
      <c r="J11" s="32"/>
      <c r="K11" s="13">
        <f t="shared" si="5"/>
        <v>2</v>
      </c>
      <c r="L11" s="2">
        <f t="shared" si="6"/>
        <v>3.1348348628272562E-3</v>
      </c>
      <c r="M11" s="2">
        <f t="shared" si="7"/>
        <v>1.9146518864155126</v>
      </c>
      <c r="N11" s="13">
        <f t="shared" si="1"/>
        <v>2</v>
      </c>
      <c r="O11" s="2">
        <f t="shared" si="2"/>
        <v>1.1062039412888114E-2</v>
      </c>
      <c r="P11" s="2">
        <f t="shared" si="3"/>
        <v>1.9256291743595377</v>
      </c>
    </row>
    <row r="12" spans="1:16">
      <c r="A12" s="2" t="s">
        <v>63</v>
      </c>
      <c r="B12" s="49">
        <f>'DataSet 2'!B11</f>
        <v>95</v>
      </c>
      <c r="C12" s="49">
        <f>'DataSet 2'!C11</f>
        <v>130</v>
      </c>
      <c r="D12" s="49">
        <f>'DataSet 2'!D11</f>
        <v>110</v>
      </c>
      <c r="E12" s="49">
        <f>'DataSet 2'!E11</f>
        <v>110</v>
      </c>
      <c r="F12" s="3">
        <f t="shared" si="4"/>
        <v>1.9777236052888478</v>
      </c>
      <c r="G12" s="4">
        <f t="shared" si="0"/>
        <v>2.1139433523068369</v>
      </c>
      <c r="H12" s="3">
        <f t="shared" si="0"/>
        <v>2.0413926851582249</v>
      </c>
      <c r="I12" s="4">
        <f t="shared" si="0"/>
        <v>2.0413926851582249</v>
      </c>
      <c r="J12" s="32"/>
      <c r="K12" s="13">
        <f t="shared" si="5"/>
        <v>2</v>
      </c>
      <c r="L12" s="2">
        <f t="shared" si="6"/>
        <v>9.2779097388224763E-3</v>
      </c>
      <c r="M12" s="2">
        <f t="shared" si="7"/>
        <v>2.0458334787978423</v>
      </c>
      <c r="N12" s="13">
        <f t="shared" si="1"/>
        <v>2</v>
      </c>
      <c r="O12" s="2">
        <f t="shared" si="2"/>
        <v>0</v>
      </c>
      <c r="P12" s="2">
        <f t="shared" si="3"/>
        <v>2.0413926851582249</v>
      </c>
    </row>
    <row r="13" spans="1:16">
      <c r="A13" s="2" t="s">
        <v>64</v>
      </c>
      <c r="B13" s="49">
        <f>'DataSet 2'!B12</f>
        <v>100</v>
      </c>
      <c r="C13" s="49">
        <f>'DataSet 2'!C12</f>
        <v>60</v>
      </c>
      <c r="D13" s="49">
        <f>'DataSet 2'!D12</f>
        <v>140</v>
      </c>
      <c r="E13" s="49">
        <f>'DataSet 2'!E12</f>
        <v>140</v>
      </c>
      <c r="F13" s="3">
        <f t="shared" si="4"/>
        <v>2</v>
      </c>
      <c r="G13" s="4">
        <f t="shared" si="0"/>
        <v>1.7781512503836436</v>
      </c>
      <c r="H13" s="3">
        <f t="shared" si="0"/>
        <v>2.1461280356782382</v>
      </c>
      <c r="I13" s="4">
        <f t="shared" si="0"/>
        <v>2.1461280356782382</v>
      </c>
      <c r="J13" s="32"/>
      <c r="K13" s="13">
        <f t="shared" si="5"/>
        <v>2</v>
      </c>
      <c r="L13" s="2">
        <f t="shared" si="6"/>
        <v>2.4608433853170388E-2</v>
      </c>
      <c r="M13" s="2">
        <f t="shared" si="7"/>
        <v>1.8890756251918219</v>
      </c>
      <c r="N13" s="13">
        <f t="shared" si="1"/>
        <v>2</v>
      </c>
      <c r="O13" s="2">
        <f t="shared" si="2"/>
        <v>0</v>
      </c>
      <c r="P13" s="2">
        <f t="shared" si="3"/>
        <v>2.1461280356782382</v>
      </c>
    </row>
    <row r="14" spans="1:16">
      <c r="A14" s="2" t="s">
        <v>65</v>
      </c>
      <c r="B14" s="49">
        <f>'DataSet 2'!B13</f>
        <v>120</v>
      </c>
      <c r="C14" s="49">
        <f>'DataSet 2'!C13</f>
        <v>90</v>
      </c>
      <c r="D14" s="49">
        <f>'DataSet 2'!D13</f>
        <v>120</v>
      </c>
      <c r="E14" s="49">
        <f>'DataSet 2'!E13</f>
        <v>71</v>
      </c>
      <c r="F14" s="3">
        <f t="shared" si="4"/>
        <v>2.0791812460476247</v>
      </c>
      <c r="G14" s="4">
        <f t="shared" si="0"/>
        <v>1.954242509439325</v>
      </c>
      <c r="H14" s="3">
        <f t="shared" si="0"/>
        <v>2.0791812460476247</v>
      </c>
      <c r="I14" s="4">
        <f t="shared" si="0"/>
        <v>1.8512583487190752</v>
      </c>
      <c r="J14" s="32"/>
      <c r="K14" s="13">
        <f t="shared" si="5"/>
        <v>2</v>
      </c>
      <c r="L14" s="2">
        <f t="shared" si="6"/>
        <v>7.804843952639042E-3</v>
      </c>
      <c r="M14" s="2">
        <f t="shared" si="7"/>
        <v>2.0167118777434747</v>
      </c>
      <c r="N14" s="13">
        <f t="shared" si="1"/>
        <v>2</v>
      </c>
      <c r="O14" s="2">
        <f t="shared" si="2"/>
        <v>2.5974423563320241E-2</v>
      </c>
      <c r="P14" s="2">
        <f t="shared" si="3"/>
        <v>1.9652197973833498</v>
      </c>
    </row>
    <row r="15" spans="1:16">
      <c r="A15" s="2" t="s">
        <v>66</v>
      </c>
      <c r="B15" s="49">
        <f>'DataSet 2'!B14</f>
        <v>65</v>
      </c>
      <c r="C15" s="49">
        <f>'DataSet 2'!C14</f>
        <v>70</v>
      </c>
      <c r="D15" s="49">
        <f>'DataSet 2'!D14</f>
        <v>10</v>
      </c>
      <c r="E15" s="49">
        <f>'DataSet 2'!E14</f>
        <v>73</v>
      </c>
      <c r="F15" s="3">
        <f t="shared" si="4"/>
        <v>1.8129133566428555</v>
      </c>
      <c r="G15" s="4">
        <f t="shared" si="0"/>
        <v>1.8450980400142569</v>
      </c>
      <c r="H15" s="3">
        <f t="shared" si="0"/>
        <v>1</v>
      </c>
      <c r="I15" s="4">
        <f t="shared" si="0"/>
        <v>1.8633228601204559</v>
      </c>
      <c r="J15" s="32"/>
      <c r="K15" s="13">
        <f t="shared" si="5"/>
        <v>2</v>
      </c>
      <c r="L15" s="2">
        <f t="shared" si="6"/>
        <v>5.1792692185868275E-4</v>
      </c>
      <c r="M15" s="2">
        <f t="shared" si="7"/>
        <v>1.8290056983285563</v>
      </c>
      <c r="N15" s="13">
        <f t="shared" si="1"/>
        <v>2</v>
      </c>
      <c r="O15" s="2">
        <f t="shared" si="2"/>
        <v>0.37266318040328211</v>
      </c>
      <c r="P15" s="2">
        <f t="shared" si="3"/>
        <v>1.4316614300602279</v>
      </c>
    </row>
    <row r="16" spans="1:16">
      <c r="A16" s="2" t="s">
        <v>67</v>
      </c>
      <c r="B16" s="49">
        <f>'DataSet 2'!B15</f>
        <v>95</v>
      </c>
      <c r="C16" s="49">
        <f>'DataSet 2'!C15</f>
        <v>70</v>
      </c>
      <c r="D16" s="49">
        <f>'DataSet 2'!D15</f>
        <v>86</v>
      </c>
      <c r="E16" s="49">
        <f>'DataSet 2'!E15</f>
        <v>59</v>
      </c>
      <c r="F16" s="3">
        <f t="shared" si="4"/>
        <v>1.9777236052888478</v>
      </c>
      <c r="G16" s="4">
        <f t="shared" si="0"/>
        <v>1.8450980400142569</v>
      </c>
      <c r="H16" s="3">
        <f t="shared" si="0"/>
        <v>1.9344984512435677</v>
      </c>
      <c r="I16" s="4">
        <f t="shared" si="0"/>
        <v>1.7708520116421442</v>
      </c>
      <c r="J16" s="32"/>
      <c r="K16" s="13">
        <f t="shared" si="5"/>
        <v>2</v>
      </c>
      <c r="L16" s="2">
        <f t="shared" si="6"/>
        <v>8.7947702822023868E-3</v>
      </c>
      <c r="M16" s="2">
        <f t="shared" si="7"/>
        <v>1.9114108226515523</v>
      </c>
      <c r="N16" s="13">
        <f t="shared" si="1"/>
        <v>2</v>
      </c>
      <c r="O16" s="2">
        <f t="shared" si="2"/>
        <v>1.3390078597111166E-2</v>
      </c>
      <c r="P16" s="2">
        <f t="shared" si="3"/>
        <v>1.8526752314428561</v>
      </c>
    </row>
    <row r="17" spans="1:19">
      <c r="A17" s="2" t="s">
        <v>68</v>
      </c>
      <c r="B17" s="49">
        <f>'DataSet 2'!B16</f>
        <v>110</v>
      </c>
      <c r="C17" s="49">
        <f>'DataSet 2'!C16</f>
        <v>85</v>
      </c>
      <c r="D17" s="49">
        <f>'DataSet 2'!D16</f>
        <v>45</v>
      </c>
      <c r="E17" s="49">
        <f>'DataSet 2'!E16</f>
        <v>130</v>
      </c>
      <c r="F17" s="3">
        <f t="shared" si="4"/>
        <v>2.0413926851582249</v>
      </c>
      <c r="G17" s="4">
        <f t="shared" si="0"/>
        <v>1.9294189257142926</v>
      </c>
      <c r="H17" s="3">
        <f t="shared" si="0"/>
        <v>1.6532125137753437</v>
      </c>
      <c r="I17" s="4">
        <f t="shared" si="0"/>
        <v>2.1139433523068369</v>
      </c>
      <c r="J17" s="32"/>
      <c r="K17" s="13">
        <f t="shared" si="5"/>
        <v>2</v>
      </c>
      <c r="L17" s="2">
        <f t="shared" si="6"/>
        <v>6.2690614020038081E-3</v>
      </c>
      <c r="M17" s="2">
        <f t="shared" si="7"/>
        <v>1.9854058054362587</v>
      </c>
      <c r="N17" s="13">
        <f t="shared" si="1"/>
        <v>2</v>
      </c>
      <c r="O17" s="2">
        <f t="shared" si="2"/>
        <v>0.10613645278696643</v>
      </c>
      <c r="P17" s="2">
        <f t="shared" si="3"/>
        <v>1.8835779330410904</v>
      </c>
    </row>
    <row r="18" spans="1:19">
      <c r="A18" s="2" t="s">
        <v>69</v>
      </c>
      <c r="B18" s="49"/>
      <c r="C18"/>
      <c r="D18"/>
      <c r="E18"/>
      <c r="F18" s="3" t="str">
        <f t="shared" si="4"/>
        <v/>
      </c>
      <c r="G18" s="4" t="str">
        <f t="shared" si="0"/>
        <v/>
      </c>
      <c r="H18" s="3" t="str">
        <f t="shared" si="0"/>
        <v/>
      </c>
      <c r="I18" s="4" t="str">
        <f t="shared" si="0"/>
        <v/>
      </c>
      <c r="J18" s="32"/>
      <c r="K18" s="13">
        <f t="shared" si="5"/>
        <v>0</v>
      </c>
      <c r="L18" s="2" t="str">
        <f t="shared" si="6"/>
        <v/>
      </c>
      <c r="M18" s="2" t="str">
        <f t="shared" si="7"/>
        <v/>
      </c>
      <c r="N18" s="13">
        <f t="shared" si="1"/>
        <v>0</v>
      </c>
      <c r="O18" s="2" t="str">
        <f t="shared" si="2"/>
        <v/>
      </c>
      <c r="P18" s="2" t="str">
        <f t="shared" si="3"/>
        <v/>
      </c>
    </row>
    <row r="19" spans="1:19">
      <c r="A19" s="2" t="s">
        <v>70</v>
      </c>
      <c r="B19"/>
      <c r="C19"/>
      <c r="D19"/>
      <c r="E19"/>
      <c r="F19" s="3" t="str">
        <f t="shared" si="4"/>
        <v/>
      </c>
      <c r="G19" s="4" t="str">
        <f t="shared" si="0"/>
        <v/>
      </c>
      <c r="H19" s="3" t="str">
        <f t="shared" si="0"/>
        <v/>
      </c>
      <c r="I19" s="4" t="str">
        <f t="shared" si="0"/>
        <v/>
      </c>
      <c r="J19" s="32"/>
      <c r="K19" s="13">
        <f t="shared" si="5"/>
        <v>0</v>
      </c>
      <c r="L19" s="2" t="str">
        <f t="shared" si="6"/>
        <v/>
      </c>
      <c r="M19" s="2" t="str">
        <f t="shared" si="7"/>
        <v/>
      </c>
      <c r="N19" s="13">
        <f t="shared" si="1"/>
        <v>0</v>
      </c>
      <c r="O19" s="2" t="str">
        <f t="shared" si="2"/>
        <v/>
      </c>
      <c r="P19" s="2" t="str">
        <f t="shared" si="3"/>
        <v/>
      </c>
    </row>
    <row r="20" spans="1:19">
      <c r="A20" s="2" t="s">
        <v>71</v>
      </c>
      <c r="B20"/>
      <c r="C20"/>
      <c r="D20"/>
      <c r="E20"/>
      <c r="F20" s="3" t="str">
        <f t="shared" si="4"/>
        <v/>
      </c>
      <c r="G20" s="4" t="str">
        <f t="shared" si="0"/>
        <v/>
      </c>
      <c r="H20" s="3" t="str">
        <f t="shared" si="0"/>
        <v/>
      </c>
      <c r="I20" s="4" t="str">
        <f t="shared" si="0"/>
        <v/>
      </c>
      <c r="J20" s="32"/>
      <c r="K20" s="13">
        <f t="shared" si="5"/>
        <v>0</v>
      </c>
      <c r="L20" s="2" t="str">
        <f t="shared" si="6"/>
        <v/>
      </c>
      <c r="M20" s="2" t="str">
        <f t="shared" si="7"/>
        <v/>
      </c>
      <c r="N20" s="13">
        <f t="shared" si="1"/>
        <v>0</v>
      </c>
      <c r="O20" s="2" t="str">
        <f t="shared" si="2"/>
        <v/>
      </c>
      <c r="P20" s="2" t="str">
        <f t="shared" si="3"/>
        <v/>
      </c>
      <c r="S20" s="12"/>
    </row>
    <row r="21" spans="1:19">
      <c r="A21" s="2" t="s">
        <v>72</v>
      </c>
      <c r="B21"/>
      <c r="C21"/>
      <c r="D21"/>
      <c r="E21"/>
      <c r="F21" s="3" t="str">
        <f t="shared" si="4"/>
        <v/>
      </c>
      <c r="G21" s="4" t="str">
        <f t="shared" si="0"/>
        <v/>
      </c>
      <c r="H21" s="3" t="str">
        <f t="shared" si="0"/>
        <v/>
      </c>
      <c r="I21" s="4" t="str">
        <f t="shared" si="0"/>
        <v/>
      </c>
      <c r="J21" s="32"/>
      <c r="K21" s="13">
        <f t="shared" si="5"/>
        <v>0</v>
      </c>
      <c r="L21" s="2" t="str">
        <f t="shared" si="6"/>
        <v/>
      </c>
      <c r="M21" s="2" t="str">
        <f t="shared" si="7"/>
        <v/>
      </c>
      <c r="N21" s="13">
        <f t="shared" si="1"/>
        <v>0</v>
      </c>
      <c r="O21" s="2" t="str">
        <f t="shared" si="2"/>
        <v/>
      </c>
      <c r="P21" s="2" t="str">
        <f t="shared" si="3"/>
        <v/>
      </c>
    </row>
    <row r="22" spans="1:19">
      <c r="A22" s="2" t="s">
        <v>73</v>
      </c>
      <c r="B22"/>
      <c r="C22"/>
      <c r="D22"/>
      <c r="E22"/>
      <c r="F22" s="3" t="str">
        <f t="shared" si="4"/>
        <v/>
      </c>
      <c r="G22" s="4" t="str">
        <f t="shared" ref="G22:I26" si="8">IF(C22&gt;0,LOG10(C22),"")</f>
        <v/>
      </c>
      <c r="H22" s="3" t="str">
        <f t="shared" si="8"/>
        <v/>
      </c>
      <c r="I22" s="4" t="str">
        <f t="shared" si="8"/>
        <v/>
      </c>
      <c r="J22" s="32"/>
      <c r="K22" s="13">
        <f t="shared" si="5"/>
        <v>0</v>
      </c>
      <c r="L22" s="2" t="str">
        <f t="shared" si="6"/>
        <v/>
      </c>
      <c r="M22" s="2" t="str">
        <f t="shared" si="7"/>
        <v/>
      </c>
      <c r="N22" s="13">
        <f t="shared" si="1"/>
        <v>0</v>
      </c>
      <c r="O22" s="2" t="str">
        <f t="shared" si="2"/>
        <v/>
      </c>
      <c r="P22" s="2" t="str">
        <f t="shared" si="3"/>
        <v/>
      </c>
    </row>
    <row r="23" spans="1:19">
      <c r="A23" s="2" t="s">
        <v>74</v>
      </c>
      <c r="B23"/>
      <c r="C23"/>
      <c r="D23"/>
      <c r="E23"/>
      <c r="F23" s="3" t="str">
        <f t="shared" si="4"/>
        <v/>
      </c>
      <c r="G23" s="4" t="str">
        <f t="shared" si="8"/>
        <v/>
      </c>
      <c r="H23" s="3" t="str">
        <f t="shared" si="8"/>
        <v/>
      </c>
      <c r="I23" s="4" t="str">
        <f t="shared" si="8"/>
        <v/>
      </c>
      <c r="J23" s="32"/>
      <c r="K23" s="13">
        <f t="shared" si="5"/>
        <v>0</v>
      </c>
      <c r="L23" s="2" t="str">
        <f t="shared" si="6"/>
        <v/>
      </c>
      <c r="M23" s="2" t="str">
        <f t="shared" si="7"/>
        <v/>
      </c>
      <c r="N23" s="13">
        <f t="shared" si="1"/>
        <v>0</v>
      </c>
      <c r="O23" s="2" t="str">
        <f t="shared" si="2"/>
        <v/>
      </c>
      <c r="P23" s="2" t="str">
        <f t="shared" si="3"/>
        <v/>
      </c>
    </row>
    <row r="24" spans="1:19">
      <c r="A24" s="2" t="s">
        <v>75</v>
      </c>
      <c r="B24"/>
      <c r="C24"/>
      <c r="D24"/>
      <c r="E24"/>
      <c r="F24" s="3" t="str">
        <f t="shared" si="4"/>
        <v/>
      </c>
      <c r="G24" s="4" t="str">
        <f t="shared" si="8"/>
        <v/>
      </c>
      <c r="H24" s="3" t="str">
        <f t="shared" si="8"/>
        <v/>
      </c>
      <c r="I24" s="4" t="str">
        <f t="shared" si="8"/>
        <v/>
      </c>
      <c r="J24" s="32"/>
      <c r="K24" s="13">
        <f t="shared" si="5"/>
        <v>0</v>
      </c>
      <c r="L24" s="2" t="str">
        <f t="shared" si="6"/>
        <v/>
      </c>
      <c r="M24" s="2" t="str">
        <f t="shared" si="7"/>
        <v/>
      </c>
      <c r="N24" s="13">
        <f t="shared" si="1"/>
        <v>0</v>
      </c>
      <c r="O24" s="2" t="str">
        <f t="shared" si="2"/>
        <v/>
      </c>
      <c r="P24" s="2" t="str">
        <f t="shared" si="3"/>
        <v/>
      </c>
    </row>
    <row r="25" spans="1:19">
      <c r="A25" s="2" t="s">
        <v>76</v>
      </c>
      <c r="B25"/>
      <c r="C25"/>
      <c r="D25"/>
      <c r="E25"/>
      <c r="F25" s="3" t="str">
        <f t="shared" si="4"/>
        <v/>
      </c>
      <c r="G25" s="4" t="str">
        <f t="shared" si="8"/>
        <v/>
      </c>
      <c r="H25" s="3" t="str">
        <f t="shared" si="8"/>
        <v/>
      </c>
      <c r="I25" s="4" t="str">
        <f t="shared" si="8"/>
        <v/>
      </c>
      <c r="J25" s="32"/>
      <c r="K25" s="13">
        <f t="shared" si="5"/>
        <v>0</v>
      </c>
      <c r="L25" s="2" t="str">
        <f t="shared" si="6"/>
        <v/>
      </c>
      <c r="M25" s="2" t="str">
        <f t="shared" si="7"/>
        <v/>
      </c>
      <c r="N25" s="13">
        <f t="shared" si="1"/>
        <v>0</v>
      </c>
      <c r="O25" s="2" t="str">
        <f t="shared" si="2"/>
        <v/>
      </c>
      <c r="P25" s="2" t="str">
        <f t="shared" si="3"/>
        <v/>
      </c>
    </row>
    <row r="26" spans="1:19" ht="15.75" thickBot="1">
      <c r="A26" s="2" t="s">
        <v>77</v>
      </c>
      <c r="B26"/>
      <c r="C26"/>
      <c r="D26"/>
      <c r="E26"/>
      <c r="F26" s="5" t="str">
        <f t="shared" si="4"/>
        <v/>
      </c>
      <c r="G26" s="6" t="str">
        <f t="shared" si="8"/>
        <v/>
      </c>
      <c r="H26" s="5" t="str">
        <f t="shared" si="8"/>
        <v/>
      </c>
      <c r="I26" s="6" t="str">
        <f t="shared" si="8"/>
        <v/>
      </c>
      <c r="J26" s="32"/>
      <c r="K26" s="13">
        <f t="shared" si="5"/>
        <v>0</v>
      </c>
      <c r="L26" s="2" t="str">
        <f t="shared" si="6"/>
        <v/>
      </c>
      <c r="M26" s="2" t="str">
        <f t="shared" si="7"/>
        <v/>
      </c>
      <c r="N26" s="13">
        <f t="shared" si="1"/>
        <v>0</v>
      </c>
      <c r="O26" s="2" t="str">
        <f t="shared" si="2"/>
        <v/>
      </c>
      <c r="P26" s="2" t="str">
        <f t="shared" si="3"/>
        <v/>
      </c>
    </row>
    <row r="28" spans="1:19">
      <c r="A28" s="27" t="s">
        <v>91</v>
      </c>
    </row>
    <row r="29" spans="1:19">
      <c r="A29" s="27"/>
      <c r="H29" s="37" t="s">
        <v>96</v>
      </c>
      <c r="I29" s="35" t="s">
        <v>95</v>
      </c>
      <c r="J29" s="27"/>
      <c r="K29" s="27"/>
      <c r="L29" s="27"/>
    </row>
    <row r="30" spans="1:19">
      <c r="E30" s="2" t="s">
        <v>89</v>
      </c>
      <c r="H30" s="13">
        <f>COUNT(G6:G26)</f>
        <v>12</v>
      </c>
      <c r="I30" s="13">
        <f>COUNT(H6:H26)</f>
        <v>12</v>
      </c>
      <c r="J30" s="13"/>
      <c r="K30" s="13"/>
      <c r="L30" s="13"/>
    </row>
    <row r="31" spans="1:19">
      <c r="E31" s="2" t="s">
        <v>82</v>
      </c>
      <c r="H31" s="13">
        <f>COUNT(F6:G26)</f>
        <v>24</v>
      </c>
      <c r="I31" s="13">
        <f>COUNT(H6:I26)</f>
        <v>24</v>
      </c>
      <c r="J31" s="13"/>
      <c r="K31" s="13"/>
      <c r="L31" s="13"/>
    </row>
    <row r="32" spans="1:19">
      <c r="E32" s="2" t="s">
        <v>27</v>
      </c>
      <c r="H32" s="13">
        <f>IF(K6*H30&lt;&gt;H31,"Calcul impossible",K6)</f>
        <v>2</v>
      </c>
      <c r="I32" s="13">
        <f>IF(N6*I30&lt;&gt;I31,"Calcul impossible",N6)</f>
        <v>2</v>
      </c>
      <c r="J32" s="13"/>
      <c r="K32" s="13"/>
      <c r="L32" s="13"/>
    </row>
    <row r="33" spans="5:19">
      <c r="E33" s="2" t="s">
        <v>46</v>
      </c>
      <c r="H33" s="28">
        <f>SUM(L6:L26)</f>
        <v>7.0219064342593757E-2</v>
      </c>
      <c r="I33" s="28">
        <f>SUM(O6:O26)</f>
        <v>0.64405987183095315</v>
      </c>
      <c r="J33" s="10"/>
      <c r="K33" s="10"/>
      <c r="L33" s="10"/>
    </row>
    <row r="34" spans="5:19">
      <c r="E34" s="2" t="s">
        <v>47</v>
      </c>
      <c r="H34" s="28">
        <f>DEVSQ(F6:G26)</f>
        <v>0.18188669486990128</v>
      </c>
      <c r="I34" s="28">
        <f>DEVSQ(H6:I26)</f>
        <v>1.3550651782700709</v>
      </c>
      <c r="J34" s="10"/>
      <c r="K34" s="10"/>
      <c r="L34" s="10"/>
    </row>
    <row r="35" spans="5:19">
      <c r="E35" s="2" t="s">
        <v>48</v>
      </c>
      <c r="H35" s="28">
        <f>H34-H33</f>
        <v>0.11166763052730752</v>
      </c>
      <c r="I35" s="28">
        <f>I34-I33</f>
        <v>0.71100530643911775</v>
      </c>
      <c r="J35" s="10"/>
      <c r="K35" s="10"/>
      <c r="L35" s="10"/>
    </row>
    <row r="36" spans="5:19">
      <c r="E36" s="2" t="s">
        <v>28</v>
      </c>
      <c r="H36" s="28">
        <f>((H35/(H30-1))-H37)/H32</f>
        <v>2.1500070399968138E-3</v>
      </c>
      <c r="I36" s="28">
        <f>((I35/(I30-1))-I37)/I32</f>
        <v>5.4825950270035208E-3</v>
      </c>
      <c r="J36" s="10"/>
      <c r="K36" s="10"/>
      <c r="L36" s="10"/>
    </row>
    <row r="37" spans="5:19">
      <c r="E37" s="2" t="s">
        <v>29</v>
      </c>
      <c r="H37" s="28">
        <f>H33/(H31-H30)</f>
        <v>5.8515886952161464E-3</v>
      </c>
      <c r="I37" s="28">
        <f>I33/(I31-I30)</f>
        <v>5.367165598591276E-2</v>
      </c>
      <c r="J37" s="10"/>
      <c r="K37" s="10"/>
      <c r="L37" s="10"/>
    </row>
    <row r="38" spans="5:19">
      <c r="E38" s="2" t="s">
        <v>49</v>
      </c>
      <c r="H38" s="28">
        <f>IF(H36&lt;0,0,H36)</f>
        <v>2.1500070399968138E-3</v>
      </c>
      <c r="I38" s="28">
        <f>IF(I36&lt;0,0,I36)</f>
        <v>5.4825950270035208E-3</v>
      </c>
      <c r="J38" s="10"/>
      <c r="K38" s="10"/>
      <c r="L38" s="10"/>
    </row>
    <row r="39" spans="5:19">
      <c r="E39" s="2" t="s">
        <v>41</v>
      </c>
      <c r="H39" s="28">
        <f>SUM(H37:H38)</f>
        <v>8.0015957352129602E-3</v>
      </c>
      <c r="I39" s="28">
        <f>SUM(I37:I38)</f>
        <v>5.9154251012916284E-2</v>
      </c>
      <c r="J39" s="10"/>
      <c r="K39" s="10"/>
      <c r="L39" s="10"/>
    </row>
    <row r="40" spans="5:19" s="1" customFormat="1" ht="15.75">
      <c r="E40" s="1" t="s">
        <v>30</v>
      </c>
    </row>
    <row r="41" spans="5:19">
      <c r="E41" s="27" t="s">
        <v>94</v>
      </c>
      <c r="H41" s="29">
        <f>AVERAGE(F6:G26)</f>
        <v>1.9643914224661554</v>
      </c>
      <c r="I41" s="29">
        <f>AVERAGE(H6:I26)</f>
        <v>1.9036745944402433</v>
      </c>
      <c r="J41" s="31"/>
      <c r="K41" s="31"/>
      <c r="L41" s="31"/>
    </row>
    <row r="42" spans="5:19" ht="12" customHeight="1">
      <c r="E42" s="2" t="s">
        <v>40</v>
      </c>
      <c r="H42" s="29">
        <f t="shared" ref="H42:I44" si="9">SQRT(H37)</f>
        <v>7.6495677624400099E-2</v>
      </c>
      <c r="I42" s="29">
        <f t="shared" si="9"/>
        <v>0.23167143972857931</v>
      </c>
      <c r="J42" s="31"/>
      <c r="K42" s="31"/>
      <c r="L42" s="31"/>
    </row>
    <row r="43" spans="5:19">
      <c r="E43" s="2" t="s">
        <v>50</v>
      </c>
      <c r="H43" s="29">
        <f t="shared" si="9"/>
        <v>4.6368168391654356E-2</v>
      </c>
      <c r="I43" s="29">
        <f t="shared" si="9"/>
        <v>7.4044547584569118E-2</v>
      </c>
      <c r="J43" s="31"/>
      <c r="K43" s="31"/>
      <c r="L43" s="31"/>
    </row>
    <row r="44" spans="5:19">
      <c r="E44" s="2" t="s">
        <v>42</v>
      </c>
      <c r="H44" s="29">
        <f t="shared" si="9"/>
        <v>8.945163908622894E-2</v>
      </c>
      <c r="I44" s="29">
        <f t="shared" si="9"/>
        <v>0.24321646945245357</v>
      </c>
      <c r="J44" s="31"/>
      <c r="K44" s="31"/>
      <c r="L44" s="31"/>
    </row>
    <row r="45" spans="5:19" s="1" customFormat="1" ht="15.75">
      <c r="E45" s="1" t="s">
        <v>31</v>
      </c>
      <c r="H45" s="30"/>
      <c r="I45" s="30"/>
      <c r="J45" s="21"/>
      <c r="K45" s="21"/>
      <c r="L45" s="21"/>
    </row>
    <row r="46" spans="5:19">
      <c r="E46" s="2" t="s">
        <v>32</v>
      </c>
      <c r="H46" s="29">
        <f>H41-F2</f>
        <v>0</v>
      </c>
      <c r="I46" s="29">
        <f>I41-F2</f>
        <v>-6.0716828025912051E-2</v>
      </c>
      <c r="J46" s="31"/>
      <c r="K46" s="31"/>
      <c r="L46" s="31"/>
    </row>
    <row r="47" spans="5:19" s="1" customFormat="1" ht="15.75">
      <c r="E47" s="1" t="s">
        <v>86</v>
      </c>
      <c r="H47" s="30"/>
      <c r="I47" s="30"/>
    </row>
    <row r="48" spans="5:19">
      <c r="E48" s="2" t="s">
        <v>33</v>
      </c>
      <c r="H48" s="29">
        <f>H38/H37</f>
        <v>0.36742278925969468</v>
      </c>
      <c r="I48" s="29">
        <f>I38/I37</f>
        <v>0.1021506589705848</v>
      </c>
      <c r="J48" s="31"/>
      <c r="K48" s="31"/>
      <c r="L48" s="31"/>
      <c r="S48" s="10"/>
    </row>
    <row r="49" spans="5:19">
      <c r="E49" s="2" t="s">
        <v>0</v>
      </c>
      <c r="H49" s="29">
        <f>(H48+1)/(H32*H48+1)</f>
        <v>0.78821008981486806</v>
      </c>
      <c r="I49" s="29">
        <f>(I48+1)/(I32*I48+1)</f>
        <v>0.91517848776814592</v>
      </c>
      <c r="J49" s="31"/>
      <c r="K49" s="31"/>
      <c r="L49" s="31"/>
      <c r="S49" s="10"/>
    </row>
    <row r="50" spans="5:19">
      <c r="E50" s="2" t="s">
        <v>34</v>
      </c>
      <c r="H50" s="29">
        <f>SQRT(1+1/(H31*H49))</f>
        <v>1.026090827765443</v>
      </c>
      <c r="I50" s="29">
        <f>SQRT(1+1/(I31*I49))</f>
        <v>1.022510860307364</v>
      </c>
      <c r="J50" s="31"/>
      <c r="K50" s="31"/>
      <c r="L50" s="31"/>
      <c r="S50" s="10"/>
    </row>
    <row r="51" spans="5:19" ht="15.75" thickBot="1">
      <c r="E51" s="2" t="s">
        <v>88</v>
      </c>
      <c r="H51" s="29">
        <f>(H48+1)^2/((H48+1/H32)^2/(H30-1)+(1-1/H32)/H31)</f>
        <v>20.954082336742562</v>
      </c>
      <c r="I51" s="29">
        <f>(I48+1)^2/((I48+1/I32)^2/(I30-1)+(1-1/I32)/I31)</f>
        <v>22.580565772271513</v>
      </c>
      <c r="J51" s="31"/>
      <c r="K51" s="31"/>
      <c r="L51" s="31"/>
      <c r="S51" s="10"/>
    </row>
    <row r="52" spans="5:19" ht="15.75" thickBot="1">
      <c r="E52" s="2" t="s">
        <v>35</v>
      </c>
      <c r="I52" s="42">
        <f>Summary!B5</f>
        <v>0.8</v>
      </c>
      <c r="J52" s="39"/>
      <c r="K52" s="39"/>
      <c r="L52" s="39"/>
      <c r="S52" s="10"/>
    </row>
    <row r="53" spans="5:19">
      <c r="E53" s="2" t="s">
        <v>36</v>
      </c>
      <c r="H53" s="29"/>
      <c r="I53" s="29">
        <f>TINV(1-I52,ROUNDDOWN(I51,0))</f>
        <v>1.3212367416538635</v>
      </c>
      <c r="J53" s="31"/>
      <c r="K53" s="31"/>
      <c r="L53" s="31"/>
      <c r="S53" s="10"/>
    </row>
    <row r="54" spans="5:19">
      <c r="E54" s="2" t="s">
        <v>37</v>
      </c>
      <c r="H54" s="29"/>
      <c r="I54" s="29">
        <f>TINV(1-I52,ROUNDUP(I51,0))</f>
        <v>1.3194602398508177</v>
      </c>
      <c r="J54" s="31"/>
      <c r="K54" s="31"/>
      <c r="L54" s="31"/>
      <c r="S54" s="10"/>
    </row>
    <row r="55" spans="5:19">
      <c r="E55" s="2" t="s">
        <v>87</v>
      </c>
      <c r="H55" s="29"/>
      <c r="I55" s="29">
        <f>I53-(I53-I54)*(I51-ROUNDDOWN(I51,0))</f>
        <v>1.3202053655126365</v>
      </c>
      <c r="J55" s="31"/>
      <c r="K55" s="31"/>
      <c r="L55" s="31"/>
      <c r="S55" s="10"/>
    </row>
    <row r="56" spans="5:19">
      <c r="E56" s="2" t="s">
        <v>83</v>
      </c>
      <c r="H56" s="29"/>
      <c r="I56" s="29">
        <f>I55*I50</f>
        <v>1.3499243240727239</v>
      </c>
      <c r="J56" s="31"/>
      <c r="K56" s="31"/>
      <c r="L56" s="31"/>
      <c r="S56" s="10"/>
    </row>
    <row r="57" spans="5:19">
      <c r="E57" s="2" t="s">
        <v>84</v>
      </c>
      <c r="H57" s="29"/>
      <c r="I57" s="29">
        <f>I44*I50</f>
        <v>0.24869148142074801</v>
      </c>
      <c r="J57" s="31"/>
      <c r="K57" s="31"/>
      <c r="L57" s="31"/>
      <c r="S57" s="10"/>
    </row>
    <row r="58" spans="5:19" s="1" customFormat="1" ht="15.75">
      <c r="E58" s="1" t="s">
        <v>85</v>
      </c>
      <c r="H58" s="30"/>
      <c r="I58" s="30"/>
    </row>
    <row r="59" spans="5:19">
      <c r="E59" s="2" t="s">
        <v>38</v>
      </c>
      <c r="H59" s="29"/>
      <c r="I59" s="29">
        <f>I41-I56*I44</f>
        <v>1.5753507663112858</v>
      </c>
      <c r="J59" s="31"/>
      <c r="K59" s="31"/>
      <c r="L59" s="31"/>
      <c r="S59" s="10"/>
    </row>
    <row r="60" spans="5:19">
      <c r="E60" s="2" t="s">
        <v>39</v>
      </c>
      <c r="H60" s="29"/>
      <c r="I60" s="29">
        <f>I41+I56*I44</f>
        <v>2.2319984225692009</v>
      </c>
      <c r="J60" s="31"/>
      <c r="K60" s="31"/>
      <c r="L60" s="31"/>
      <c r="S60" s="10"/>
    </row>
  </sheetData>
  <sheetProtection password="8F34" sheet="1" objects="1" scenarios="1"/>
  <phoneticPr fontId="2" type="noConversion"/>
  <printOptions horizontalCentered="1" verticalCentered="1" gridLines="1"/>
  <pageMargins left="0.78740157480314965" right="0.78740157480314965" top="0.47244094488188981" bottom="0.74803149606299213" header="0.27559055118110237" footer="0.51181102362204722"/>
  <pageSetup paperSize="9" scale="105" orientation="landscape" horizontalDpi="300" verticalDpi="300" r:id="rId1"/>
  <headerFooter alignWithMargins="0">
    <oddHeader>&amp;CISO 16140-2</oddHeader>
    <oddFooter>&amp;C&amp;A&amp;R&amp;P</oddFooter>
  </headerFooter>
  <rowBreaks count="2" manualBreakCount="2">
    <brk id="27" max="16383" man="1"/>
    <brk id="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6"/>
  <dimension ref="A1:S60"/>
  <sheetViews>
    <sheetView zoomScaleNormal="100" workbookViewId="0">
      <selection activeCell="F11" sqref="F11"/>
    </sheetView>
  </sheetViews>
  <sheetFormatPr baseColWidth="10" defaultColWidth="11.42578125" defaultRowHeight="15"/>
  <cols>
    <col min="1" max="1" width="11.28515625" style="2" customWidth="1"/>
    <col min="2" max="5" width="13.140625" style="2" customWidth="1"/>
    <col min="6" max="6" width="14.7109375" style="2" customWidth="1"/>
    <col min="7" max="7" width="14.42578125" style="2" customWidth="1"/>
    <col min="8" max="8" width="15.28515625" style="2" customWidth="1"/>
    <col min="9" max="9" width="14.7109375" style="2" customWidth="1"/>
    <col min="10" max="10" width="3.140625" style="2" customWidth="1"/>
    <col min="11" max="11" width="7" style="2" customWidth="1"/>
    <col min="12" max="12" width="6.85546875" style="2" bestFit="1" customWidth="1"/>
    <col min="13" max="13" width="9.140625" style="2" bestFit="1" customWidth="1"/>
    <col min="14" max="14" width="6.5703125" style="2" customWidth="1"/>
    <col min="15" max="15" width="7.5703125" style="2" customWidth="1"/>
    <col min="16" max="16" width="9.140625" style="2" bestFit="1" customWidth="1"/>
    <col min="17" max="17" width="4.5703125" style="2" customWidth="1"/>
    <col min="18" max="16384" width="11.42578125" style="2"/>
  </cols>
  <sheetData>
    <row r="1" spans="1:16" s="1" customFormat="1" ht="15.75">
      <c r="A1" s="1" t="s">
        <v>22</v>
      </c>
    </row>
    <row r="2" spans="1:16" s="1" customFormat="1" ht="15.75">
      <c r="D2" s="1" t="str">
        <f>Low!D2</f>
        <v>Target value</v>
      </c>
      <c r="F2" s="21">
        <f>AVERAGE(F6:G26)</f>
        <v>2.8953866700839739</v>
      </c>
    </row>
    <row r="4" spans="1:16" s="1" customFormat="1" ht="15.75">
      <c r="B4" s="23" t="s">
        <v>106</v>
      </c>
      <c r="C4" s="22"/>
      <c r="D4" s="33" t="s">
        <v>107</v>
      </c>
      <c r="E4" s="34"/>
      <c r="F4" s="23" t="s">
        <v>108</v>
      </c>
      <c r="G4" s="22"/>
      <c r="H4" s="33" t="s">
        <v>109</v>
      </c>
      <c r="I4" s="34"/>
      <c r="J4" s="22"/>
      <c r="K4" s="23" t="s">
        <v>92</v>
      </c>
      <c r="L4" s="22"/>
      <c r="M4" s="22"/>
      <c r="N4" s="33" t="s">
        <v>93</v>
      </c>
      <c r="O4" s="34"/>
      <c r="P4" s="34"/>
    </row>
    <row r="5" spans="1:16" s="1" customFormat="1" ht="15.75">
      <c r="B5" s="22" t="str">
        <f>Low!B5</f>
        <v>Duplicate 1</v>
      </c>
      <c r="C5" s="22" t="str">
        <f>Low!C5</f>
        <v>Duplicate 2</v>
      </c>
      <c r="D5" s="34" t="str">
        <f>Low!D5</f>
        <v>Duplicate 1</v>
      </c>
      <c r="E5" s="34" t="str">
        <f>Low!E5</f>
        <v>Duplicate 2</v>
      </c>
      <c r="F5" s="22" t="str">
        <f>Low!F5</f>
        <v>Duplicate 1</v>
      </c>
      <c r="G5" s="22" t="str">
        <f>Low!G5</f>
        <v>Duplicate 2</v>
      </c>
      <c r="H5" s="34" t="str">
        <f>Low!H5</f>
        <v>Duplicate 1</v>
      </c>
      <c r="I5" s="34" t="str">
        <f>Low!I5</f>
        <v>Duplicate 2</v>
      </c>
      <c r="J5" s="22"/>
      <c r="K5" s="22" t="str">
        <f>Low!K5</f>
        <v>I</v>
      </c>
      <c r="L5" s="22" t="str">
        <f>Low!L5</f>
        <v>SSk</v>
      </c>
      <c r="M5" s="22" t="str">
        <f>Low!M5</f>
        <v>Average</v>
      </c>
      <c r="N5" s="34" t="str">
        <f>Low!N5</f>
        <v>I</v>
      </c>
      <c r="O5" s="34" t="str">
        <f>Low!O5</f>
        <v>SSk</v>
      </c>
      <c r="P5" s="34" t="str">
        <f>Low!P5</f>
        <v>Average</v>
      </c>
    </row>
    <row r="6" spans="1:16">
      <c r="A6" s="2" t="s">
        <v>57</v>
      </c>
      <c r="B6" s="8">
        <f>'DataSet 2'!B18</f>
        <v>800</v>
      </c>
      <c r="C6" s="50">
        <f>'DataSet 2'!C18</f>
        <v>920</v>
      </c>
      <c r="D6" s="50">
        <f>'DataSet 2'!D18</f>
        <v>930</v>
      </c>
      <c r="E6" s="50">
        <f>'DataSet 2'!E18</f>
        <v>1700</v>
      </c>
      <c r="F6" s="3">
        <f>IF(B6&gt;0,LOG10(B6),"")</f>
        <v>2.9030899869919438</v>
      </c>
      <c r="G6" s="4">
        <f t="shared" ref="G6:I21" si="0">IF(C6&gt;0,LOG10(C6),"")</f>
        <v>2.9637878273455551</v>
      </c>
      <c r="H6" s="3">
        <f t="shared" si="0"/>
        <v>2.9684829485539352</v>
      </c>
      <c r="I6" s="4">
        <f t="shared" si="0"/>
        <v>3.2304489213782741</v>
      </c>
      <c r="J6" s="32"/>
      <c r="K6" s="13">
        <f>COUNT(F6:G6)</f>
        <v>2</v>
      </c>
      <c r="L6" s="2">
        <f>IF(K6=0,"",DEVSQ(F6:G6))</f>
        <v>1.842113911796246E-3</v>
      </c>
      <c r="M6" s="2">
        <f>IF(K6=0,"",AVERAGE(F6:G6))</f>
        <v>2.9334389071687497</v>
      </c>
      <c r="N6" s="13">
        <f t="shared" ref="N6:N26" si="1">COUNT(H6:I6)</f>
        <v>2</v>
      </c>
      <c r="O6" s="2">
        <f t="shared" ref="O6:O26" si="2">IF(N6=0,"",DEVSQ(H6:I6))</f>
        <v>3.4313085458901126E-2</v>
      </c>
      <c r="P6" s="2">
        <f t="shared" ref="P6:P26" si="3">IF(N6=0,"",AVERAGE(H6:I6))</f>
        <v>3.0994659349661049</v>
      </c>
    </row>
    <row r="7" spans="1:16">
      <c r="A7" s="2" t="s">
        <v>58</v>
      </c>
      <c r="B7" s="50">
        <f>'DataSet 2'!B19</f>
        <v>850</v>
      </c>
      <c r="C7" s="50">
        <f>'DataSet 2'!C19</f>
        <v>950</v>
      </c>
      <c r="D7" s="50">
        <f>'DataSet 2'!D19</f>
        <v>1100</v>
      </c>
      <c r="E7" s="50">
        <f>'DataSet 2'!E19</f>
        <v>1100</v>
      </c>
      <c r="F7" s="3">
        <f t="shared" ref="F7:F26" si="4">IF(B7&gt;0,LOG10(B7),"")</f>
        <v>2.9294189257142929</v>
      </c>
      <c r="G7" s="4">
        <f t="shared" si="0"/>
        <v>2.9777236052888476</v>
      </c>
      <c r="H7" s="3">
        <f t="shared" si="0"/>
        <v>3.0413926851582249</v>
      </c>
      <c r="I7" s="4">
        <f t="shared" si="0"/>
        <v>3.0413926851582249</v>
      </c>
      <c r="J7" s="32"/>
      <c r="K7" s="13">
        <f t="shared" ref="K7:K26" si="5">COUNT(F7:G7)</f>
        <v>2</v>
      </c>
      <c r="L7" s="2">
        <f t="shared" ref="L7:L26" si="6">IF(K7=0,"",DEVSQ(F7:G7))</f>
        <v>1.1666710344002036E-3</v>
      </c>
      <c r="M7" s="2">
        <f t="shared" ref="M7:M26" si="7">IF(K7=0,"",AVERAGE(F7:G7))</f>
        <v>2.9535712655015702</v>
      </c>
      <c r="N7" s="13">
        <f t="shared" si="1"/>
        <v>2</v>
      </c>
      <c r="O7" s="2">
        <f t="shared" si="2"/>
        <v>0</v>
      </c>
      <c r="P7" s="2">
        <f t="shared" si="3"/>
        <v>3.0413926851582249</v>
      </c>
    </row>
    <row r="8" spans="1:16">
      <c r="A8" s="2" t="s">
        <v>59</v>
      </c>
      <c r="B8" s="50">
        <f>'DataSet 2'!B20</f>
        <v>510</v>
      </c>
      <c r="C8" s="50">
        <f>'DataSet 2'!C20</f>
        <v>680</v>
      </c>
      <c r="D8" s="50">
        <f>'DataSet 2'!D20</f>
        <v>730</v>
      </c>
      <c r="E8" s="50">
        <f>'DataSet 2'!E20</f>
        <v>530</v>
      </c>
      <c r="F8" s="3">
        <f t="shared" si="4"/>
        <v>2.7075701760979363</v>
      </c>
      <c r="G8" s="4">
        <f t="shared" si="0"/>
        <v>2.8325089127062362</v>
      </c>
      <c r="H8" s="3">
        <f t="shared" si="0"/>
        <v>2.8633228601204559</v>
      </c>
      <c r="I8" s="4">
        <f t="shared" si="0"/>
        <v>2.7242758696007892</v>
      </c>
      <c r="J8" s="32"/>
      <c r="K8" s="13">
        <f t="shared" si="5"/>
        <v>2</v>
      </c>
      <c r="L8" s="2">
        <f t="shared" si="6"/>
        <v>7.8048439526390697E-3</v>
      </c>
      <c r="M8" s="2">
        <f t="shared" si="7"/>
        <v>2.7700395444020862</v>
      </c>
      <c r="N8" s="13">
        <f t="shared" si="1"/>
        <v>2</v>
      </c>
      <c r="O8" s="2">
        <f t="shared" si="2"/>
        <v>9.6670327862881447E-3</v>
      </c>
      <c r="P8" s="2">
        <f t="shared" si="3"/>
        <v>2.7937993648606225</v>
      </c>
    </row>
    <row r="9" spans="1:16">
      <c r="A9" s="2" t="s">
        <v>60</v>
      </c>
      <c r="B9" s="50">
        <f>'DataSet 2'!B21</f>
        <v>810</v>
      </c>
      <c r="C9" s="50">
        <f>'DataSet 2'!C21</f>
        <v>810</v>
      </c>
      <c r="D9" s="50">
        <f>'DataSet 2'!D21</f>
        <v>1000</v>
      </c>
      <c r="E9" s="50">
        <f>'DataSet 2'!E21</f>
        <v>530</v>
      </c>
      <c r="F9" s="3">
        <f t="shared" si="4"/>
        <v>2.90848501887865</v>
      </c>
      <c r="G9" s="4">
        <f t="shared" si="0"/>
        <v>2.90848501887865</v>
      </c>
      <c r="H9" s="3">
        <f t="shared" si="0"/>
        <v>3</v>
      </c>
      <c r="I9" s="4">
        <f t="shared" si="0"/>
        <v>2.7242758696007892</v>
      </c>
      <c r="J9" s="32"/>
      <c r="K9" s="13">
        <f t="shared" si="5"/>
        <v>2</v>
      </c>
      <c r="L9" s="2">
        <f t="shared" si="6"/>
        <v>0</v>
      </c>
      <c r="M9" s="2">
        <f t="shared" si="7"/>
        <v>2.90848501887865</v>
      </c>
      <c r="N9" s="13">
        <f t="shared" si="1"/>
        <v>2</v>
      </c>
      <c r="O9" s="2">
        <f t="shared" si="2"/>
        <v>3.8011898042200509E-2</v>
      </c>
      <c r="P9" s="2">
        <f t="shared" si="3"/>
        <v>2.8621379348003946</v>
      </c>
    </row>
    <row r="10" spans="1:16">
      <c r="A10" s="2" t="s">
        <v>61</v>
      </c>
      <c r="B10" s="50">
        <f>'DataSet 2'!B22</f>
        <v>860</v>
      </c>
      <c r="C10" s="50">
        <f>'DataSet 2'!C22</f>
        <v>860</v>
      </c>
      <c r="D10" s="50">
        <f>'DataSet 2'!D22</f>
        <v>830</v>
      </c>
      <c r="E10" s="50">
        <f>'DataSet 2'!E22</f>
        <v>730</v>
      </c>
      <c r="F10" s="3">
        <f t="shared" si="4"/>
        <v>2.9344984512435679</v>
      </c>
      <c r="G10" s="4">
        <f t="shared" si="0"/>
        <v>2.9344984512435679</v>
      </c>
      <c r="H10" s="3">
        <f t="shared" si="0"/>
        <v>2.9190780923760737</v>
      </c>
      <c r="I10" s="4">
        <f t="shared" si="0"/>
        <v>2.8633228601204559</v>
      </c>
      <c r="J10" s="32"/>
      <c r="K10" s="13">
        <f t="shared" si="5"/>
        <v>2</v>
      </c>
      <c r="L10" s="2">
        <f t="shared" si="6"/>
        <v>0</v>
      </c>
      <c r="M10" s="2">
        <f t="shared" si="7"/>
        <v>2.9344984512435679</v>
      </c>
      <c r="N10" s="13">
        <f t="shared" si="1"/>
        <v>2</v>
      </c>
      <c r="O10" s="2">
        <f t="shared" si="2"/>
        <v>1.5543229619389444E-3</v>
      </c>
      <c r="P10" s="2">
        <f t="shared" si="3"/>
        <v>2.8912004762482648</v>
      </c>
    </row>
    <row r="11" spans="1:16">
      <c r="A11" s="2" t="s">
        <v>62</v>
      </c>
      <c r="B11" s="50">
        <f>'DataSet 2'!B23</f>
        <v>680</v>
      </c>
      <c r="C11" s="50">
        <f>'DataSet 2'!C23</f>
        <v>800</v>
      </c>
      <c r="D11" s="50">
        <f>'DataSet 2'!D23</f>
        <v>630</v>
      </c>
      <c r="E11" s="50">
        <f>'DataSet 2'!E23</f>
        <v>730</v>
      </c>
      <c r="F11" s="3">
        <f t="shared" si="4"/>
        <v>2.8325089127062362</v>
      </c>
      <c r="G11" s="4">
        <f t="shared" si="0"/>
        <v>2.9030899869919438</v>
      </c>
      <c r="H11" s="3">
        <f t="shared" si="0"/>
        <v>2.7993405494535817</v>
      </c>
      <c r="I11" s="4">
        <f t="shared" si="0"/>
        <v>2.8633228601204559</v>
      </c>
      <c r="J11" s="32"/>
      <c r="K11" s="13">
        <f t="shared" si="5"/>
        <v>2</v>
      </c>
      <c r="L11" s="2">
        <f t="shared" si="6"/>
        <v>2.4908440236622864E-3</v>
      </c>
      <c r="M11" s="2">
        <f t="shared" si="7"/>
        <v>2.8677994498490902</v>
      </c>
      <c r="N11" s="13">
        <f t="shared" si="1"/>
        <v>2</v>
      </c>
      <c r="O11" s="2">
        <f t="shared" si="2"/>
        <v>2.0468680391362024E-3</v>
      </c>
      <c r="P11" s="2">
        <f t="shared" si="3"/>
        <v>2.8313317047870186</v>
      </c>
    </row>
    <row r="12" spans="1:16">
      <c r="A12" s="2" t="s">
        <v>63</v>
      </c>
      <c r="B12" s="50">
        <f>'DataSet 2'!B24</f>
        <v>630</v>
      </c>
      <c r="C12" s="50">
        <f>'DataSet 2'!C24</f>
        <v>790</v>
      </c>
      <c r="D12" s="50">
        <f>'DataSet 2'!D24</f>
        <v>1300</v>
      </c>
      <c r="E12" s="50">
        <f>'DataSet 2'!E24</f>
        <v>580</v>
      </c>
      <c r="F12" s="3">
        <f t="shared" si="4"/>
        <v>2.7993405494535817</v>
      </c>
      <c r="G12" s="4">
        <f t="shared" si="0"/>
        <v>2.8976270912904414</v>
      </c>
      <c r="H12" s="3">
        <f t="shared" si="0"/>
        <v>3.1139433523068369</v>
      </c>
      <c r="I12" s="4">
        <f t="shared" si="0"/>
        <v>2.7634279935629373</v>
      </c>
      <c r="J12" s="32"/>
      <c r="K12" s="13">
        <f t="shared" si="5"/>
        <v>2</v>
      </c>
      <c r="L12" s="2">
        <f t="shared" si="6"/>
        <v>4.8301221531243856E-3</v>
      </c>
      <c r="M12" s="2">
        <f t="shared" si="7"/>
        <v>2.8484838203720115</v>
      </c>
      <c r="N12" s="13">
        <f t="shared" si="1"/>
        <v>2</v>
      </c>
      <c r="O12" s="2">
        <f t="shared" si="2"/>
        <v>6.1430508357682323E-2</v>
      </c>
      <c r="P12" s="2">
        <f t="shared" si="3"/>
        <v>2.9386856729348869</v>
      </c>
    </row>
    <row r="13" spans="1:16">
      <c r="A13" s="2" t="s">
        <v>64</v>
      </c>
      <c r="B13" s="50">
        <f>'DataSet 2'!B25</f>
        <v>590</v>
      </c>
      <c r="C13" s="50">
        <f>'DataSet 2'!C25</f>
        <v>660</v>
      </c>
      <c r="D13" s="50">
        <f>'DataSet 2'!D25</f>
        <v>920</v>
      </c>
      <c r="E13" s="50">
        <f>'DataSet 2'!E25</f>
        <v>1000</v>
      </c>
      <c r="F13" s="3">
        <f t="shared" si="4"/>
        <v>2.7708520116421442</v>
      </c>
      <c r="G13" s="4">
        <f t="shared" si="0"/>
        <v>2.8195439355418688</v>
      </c>
      <c r="H13" s="3">
        <f t="shared" si="0"/>
        <v>2.9637878273455551</v>
      </c>
      <c r="I13" s="4">
        <f t="shared" si="0"/>
        <v>3</v>
      </c>
      <c r="J13" s="32"/>
      <c r="K13" s="13">
        <f t="shared" si="5"/>
        <v>2</v>
      </c>
      <c r="L13" s="2">
        <f t="shared" si="6"/>
        <v>1.185451726528283E-3</v>
      </c>
      <c r="M13" s="2">
        <f t="shared" si="7"/>
        <v>2.7951979735920065</v>
      </c>
      <c r="N13" s="13">
        <f t="shared" si="1"/>
        <v>2</v>
      </c>
      <c r="O13" s="2">
        <f t="shared" si="2"/>
        <v>6.5566072417766257E-4</v>
      </c>
      <c r="P13" s="2">
        <f t="shared" si="3"/>
        <v>2.9818939136727778</v>
      </c>
    </row>
    <row r="14" spans="1:16">
      <c r="A14" s="2" t="s">
        <v>65</v>
      </c>
      <c r="B14" s="50">
        <f>'DataSet 2'!B26</f>
        <v>730</v>
      </c>
      <c r="C14" s="50">
        <f>'DataSet 2'!C26</f>
        <v>900</v>
      </c>
      <c r="D14" s="50">
        <f>'DataSet 2'!D26</f>
        <v>1100</v>
      </c>
      <c r="E14" s="50">
        <f>'DataSet 2'!E26</f>
        <v>1100</v>
      </c>
      <c r="F14" s="3">
        <f t="shared" si="4"/>
        <v>2.8633228601204559</v>
      </c>
      <c r="G14" s="4">
        <f t="shared" si="0"/>
        <v>2.9542425094393248</v>
      </c>
      <c r="H14" s="3">
        <f t="shared" si="0"/>
        <v>3.0413926851582249</v>
      </c>
      <c r="I14" s="4">
        <f t="shared" si="0"/>
        <v>3.0413926851582249</v>
      </c>
      <c r="J14" s="32"/>
      <c r="K14" s="13">
        <f t="shared" si="5"/>
        <v>2</v>
      </c>
      <c r="L14" s="2">
        <f t="shared" si="6"/>
        <v>4.1331913161330464E-3</v>
      </c>
      <c r="M14" s="2">
        <f t="shared" si="7"/>
        <v>2.9087826847798901</v>
      </c>
      <c r="N14" s="13">
        <f t="shared" si="1"/>
        <v>2</v>
      </c>
      <c r="O14" s="2">
        <f t="shared" si="2"/>
        <v>0</v>
      </c>
      <c r="P14" s="2">
        <f t="shared" si="3"/>
        <v>3.0413926851582249</v>
      </c>
    </row>
    <row r="15" spans="1:16">
      <c r="A15" s="2" t="s">
        <v>66</v>
      </c>
      <c r="B15" s="50">
        <f>'DataSet 2'!B27</f>
        <v>1100</v>
      </c>
      <c r="C15" s="50">
        <f>'DataSet 2'!C27</f>
        <v>790</v>
      </c>
      <c r="D15" s="50">
        <f>'DataSet 2'!D27</f>
        <v>730</v>
      </c>
      <c r="E15" s="50">
        <f>'DataSet 2'!E27</f>
        <v>830</v>
      </c>
      <c r="F15" s="3">
        <f t="shared" si="4"/>
        <v>3.0413926851582249</v>
      </c>
      <c r="G15" s="4">
        <f t="shared" si="0"/>
        <v>2.8976270912904414</v>
      </c>
      <c r="H15" s="3">
        <f t="shared" si="0"/>
        <v>2.8633228601204559</v>
      </c>
      <c r="I15" s="4">
        <f t="shared" si="0"/>
        <v>2.9190780923760737</v>
      </c>
      <c r="J15" s="32"/>
      <c r="K15" s="13">
        <f t="shared" si="5"/>
        <v>2</v>
      </c>
      <c r="L15" s="2">
        <f t="shared" si="6"/>
        <v>1.033427299007824E-2</v>
      </c>
      <c r="M15" s="2">
        <f t="shared" si="7"/>
        <v>2.9695098882243331</v>
      </c>
      <c r="N15" s="13">
        <f t="shared" si="1"/>
        <v>2</v>
      </c>
      <c r="O15" s="2">
        <f t="shared" si="2"/>
        <v>1.5543229619389444E-3</v>
      </c>
      <c r="P15" s="2">
        <f t="shared" si="3"/>
        <v>2.8912004762482648</v>
      </c>
    </row>
    <row r="16" spans="1:16">
      <c r="A16" s="2" t="s">
        <v>67</v>
      </c>
      <c r="B16" s="50">
        <f>'DataSet 2'!B28</f>
        <v>800</v>
      </c>
      <c r="C16" s="50">
        <f>'DataSet 2'!C28</f>
        <v>820</v>
      </c>
      <c r="D16" s="50">
        <f>'DataSet 2'!D28</f>
        <v>830</v>
      </c>
      <c r="E16" s="50">
        <f>'DataSet 2'!E28</f>
        <v>1200</v>
      </c>
      <c r="F16" s="3">
        <f t="shared" si="4"/>
        <v>2.9030899869919438</v>
      </c>
      <c r="G16" s="4">
        <f t="shared" si="0"/>
        <v>2.9138138523837167</v>
      </c>
      <c r="H16" s="3">
        <f t="shared" si="0"/>
        <v>2.9190780923760737</v>
      </c>
      <c r="I16" s="4">
        <f t="shared" si="0"/>
        <v>3.0791812460476247</v>
      </c>
      <c r="J16" s="32"/>
      <c r="K16" s="13">
        <f t="shared" si="5"/>
        <v>2</v>
      </c>
      <c r="L16" s="2">
        <f t="shared" si="6"/>
        <v>5.7500644470432765E-5</v>
      </c>
      <c r="M16" s="2">
        <f t="shared" si="7"/>
        <v>2.9084519196878302</v>
      </c>
      <c r="N16" s="13">
        <f t="shared" si="1"/>
        <v>2</v>
      </c>
      <c r="O16" s="2">
        <f t="shared" si="2"/>
        <v>1.2816509907788124E-2</v>
      </c>
      <c r="P16" s="2">
        <f t="shared" si="3"/>
        <v>2.9991296692118494</v>
      </c>
    </row>
    <row r="17" spans="1:16">
      <c r="A17" s="2" t="s">
        <v>68</v>
      </c>
      <c r="B17" s="50">
        <f>'DataSet 2'!B29</f>
        <v>840</v>
      </c>
      <c r="C17" s="50">
        <f>'DataSet 2'!C29</f>
        <v>930</v>
      </c>
      <c r="D17" s="50">
        <f>'DataSet 2'!D29</f>
        <v>900</v>
      </c>
      <c r="E17" s="50">
        <f>'DataSet 2'!E29</f>
        <v>1200</v>
      </c>
      <c r="F17" s="3">
        <f t="shared" si="4"/>
        <v>2.9242792860618816</v>
      </c>
      <c r="G17" s="4">
        <f t="shared" si="0"/>
        <v>2.9684829485539352</v>
      </c>
      <c r="H17" s="3">
        <f t="shared" si="0"/>
        <v>2.9542425094393248</v>
      </c>
      <c r="I17" s="4">
        <f t="shared" si="0"/>
        <v>3.0791812460476247</v>
      </c>
      <c r="J17" s="32"/>
      <c r="K17" s="13">
        <f t="shared" si="5"/>
        <v>2</v>
      </c>
      <c r="L17" s="2">
        <f t="shared" si="6"/>
        <v>9.7698188885569546E-4</v>
      </c>
      <c r="M17" s="2">
        <f t="shared" si="7"/>
        <v>2.9463811173079084</v>
      </c>
      <c r="N17" s="13">
        <f t="shared" si="1"/>
        <v>2</v>
      </c>
      <c r="O17" s="2">
        <f t="shared" si="2"/>
        <v>7.8048439526390697E-3</v>
      </c>
      <c r="P17" s="2">
        <f t="shared" si="3"/>
        <v>3.0167118777434747</v>
      </c>
    </row>
    <row r="18" spans="1:16">
      <c r="A18" s="2" t="s">
        <v>69</v>
      </c>
      <c r="B18" s="8"/>
      <c r="C18" s="8"/>
      <c r="D18" s="8"/>
      <c r="E18" s="8"/>
      <c r="F18" s="3" t="str">
        <f t="shared" si="4"/>
        <v/>
      </c>
      <c r="G18" s="4" t="str">
        <f t="shared" si="0"/>
        <v/>
      </c>
      <c r="H18" s="3" t="str">
        <f t="shared" si="0"/>
        <v/>
      </c>
      <c r="I18" s="4" t="str">
        <f t="shared" si="0"/>
        <v/>
      </c>
      <c r="J18" s="32"/>
      <c r="K18" s="13">
        <f t="shared" si="5"/>
        <v>0</v>
      </c>
      <c r="L18" s="2" t="str">
        <f t="shared" si="6"/>
        <v/>
      </c>
      <c r="M18" s="2" t="str">
        <f t="shared" si="7"/>
        <v/>
      </c>
      <c r="N18" s="13">
        <f t="shared" si="1"/>
        <v>0</v>
      </c>
      <c r="O18" s="2" t="str">
        <f t="shared" si="2"/>
        <v/>
      </c>
      <c r="P18" s="2" t="str">
        <f t="shared" si="3"/>
        <v/>
      </c>
    </row>
    <row r="19" spans="1:16">
      <c r="A19" s="2" t="s">
        <v>70</v>
      </c>
      <c r="B19" s="8"/>
      <c r="C19" s="8"/>
      <c r="D19" s="8"/>
      <c r="E19" s="8"/>
      <c r="F19" s="3" t="str">
        <f t="shared" si="4"/>
        <v/>
      </c>
      <c r="G19" s="4" t="str">
        <f t="shared" si="0"/>
        <v/>
      </c>
      <c r="H19" s="3" t="str">
        <f t="shared" si="0"/>
        <v/>
      </c>
      <c r="I19" s="4" t="str">
        <f t="shared" si="0"/>
        <v/>
      </c>
      <c r="J19" s="32"/>
      <c r="K19" s="13">
        <f t="shared" si="5"/>
        <v>0</v>
      </c>
      <c r="L19" s="2" t="str">
        <f t="shared" si="6"/>
        <v/>
      </c>
      <c r="M19" s="2" t="str">
        <f t="shared" si="7"/>
        <v/>
      </c>
      <c r="N19" s="13">
        <f t="shared" si="1"/>
        <v>0</v>
      </c>
      <c r="O19" s="2" t="str">
        <f t="shared" si="2"/>
        <v/>
      </c>
      <c r="P19" s="2" t="str">
        <f t="shared" si="3"/>
        <v/>
      </c>
    </row>
    <row r="20" spans="1:16">
      <c r="A20" s="2" t="s">
        <v>71</v>
      </c>
      <c r="B20"/>
      <c r="C20"/>
      <c r="D20"/>
      <c r="E20"/>
      <c r="F20" s="3" t="str">
        <f t="shared" si="4"/>
        <v/>
      </c>
      <c r="G20" s="4" t="str">
        <f t="shared" si="0"/>
        <v/>
      </c>
      <c r="H20" s="3" t="str">
        <f t="shared" si="0"/>
        <v/>
      </c>
      <c r="I20" s="4" t="str">
        <f t="shared" si="0"/>
        <v/>
      </c>
      <c r="J20" s="32"/>
      <c r="K20" s="13">
        <f t="shared" si="5"/>
        <v>0</v>
      </c>
      <c r="L20" s="2" t="str">
        <f t="shared" si="6"/>
        <v/>
      </c>
      <c r="M20" s="2" t="str">
        <f t="shared" si="7"/>
        <v/>
      </c>
      <c r="N20" s="13">
        <f t="shared" si="1"/>
        <v>0</v>
      </c>
      <c r="O20" s="2" t="str">
        <f t="shared" si="2"/>
        <v/>
      </c>
      <c r="P20" s="2" t="str">
        <f t="shared" si="3"/>
        <v/>
      </c>
    </row>
    <row r="21" spans="1:16">
      <c r="A21" s="2" t="s">
        <v>72</v>
      </c>
      <c r="B21"/>
      <c r="C21"/>
      <c r="D21"/>
      <c r="E21"/>
      <c r="F21" s="3" t="str">
        <f t="shared" si="4"/>
        <v/>
      </c>
      <c r="G21" s="4" t="str">
        <f t="shared" si="0"/>
        <v/>
      </c>
      <c r="H21" s="3" t="str">
        <f t="shared" si="0"/>
        <v/>
      </c>
      <c r="I21" s="4" t="str">
        <f t="shared" si="0"/>
        <v/>
      </c>
      <c r="J21" s="32"/>
      <c r="K21" s="13">
        <f t="shared" si="5"/>
        <v>0</v>
      </c>
      <c r="L21" s="2" t="str">
        <f t="shared" si="6"/>
        <v/>
      </c>
      <c r="M21" s="2" t="str">
        <f t="shared" si="7"/>
        <v/>
      </c>
      <c r="N21" s="13">
        <f t="shared" si="1"/>
        <v>0</v>
      </c>
      <c r="O21" s="2" t="str">
        <f t="shared" si="2"/>
        <v/>
      </c>
      <c r="P21" s="2" t="str">
        <f t="shared" si="3"/>
        <v/>
      </c>
    </row>
    <row r="22" spans="1:16">
      <c r="A22" s="2" t="s">
        <v>73</v>
      </c>
      <c r="B22"/>
      <c r="C22"/>
      <c r="D22"/>
      <c r="E22"/>
      <c r="F22" s="3" t="str">
        <f t="shared" si="4"/>
        <v/>
      </c>
      <c r="G22" s="4" t="str">
        <f t="shared" ref="G22:I26" si="8">IF(C22&gt;0,LOG10(C22),"")</f>
        <v/>
      </c>
      <c r="H22" s="3" t="str">
        <f t="shared" si="8"/>
        <v/>
      </c>
      <c r="I22" s="4" t="str">
        <f t="shared" si="8"/>
        <v/>
      </c>
      <c r="J22" s="32"/>
      <c r="K22" s="13">
        <f t="shared" si="5"/>
        <v>0</v>
      </c>
      <c r="L22" s="2" t="str">
        <f t="shared" si="6"/>
        <v/>
      </c>
      <c r="M22" s="2" t="str">
        <f t="shared" si="7"/>
        <v/>
      </c>
      <c r="N22" s="13">
        <f t="shared" si="1"/>
        <v>0</v>
      </c>
      <c r="O22" s="2" t="str">
        <f t="shared" si="2"/>
        <v/>
      </c>
      <c r="P22" s="2" t="str">
        <f t="shared" si="3"/>
        <v/>
      </c>
    </row>
    <row r="23" spans="1:16">
      <c r="A23" s="2" t="s">
        <v>74</v>
      </c>
      <c r="B23"/>
      <c r="C23"/>
      <c r="D23"/>
      <c r="E23"/>
      <c r="F23" s="3" t="str">
        <f t="shared" si="4"/>
        <v/>
      </c>
      <c r="G23" s="4" t="str">
        <f t="shared" si="8"/>
        <v/>
      </c>
      <c r="H23" s="3" t="str">
        <f t="shared" si="8"/>
        <v/>
      </c>
      <c r="I23" s="4" t="str">
        <f t="shared" si="8"/>
        <v/>
      </c>
      <c r="J23" s="32"/>
      <c r="K23" s="13">
        <f t="shared" si="5"/>
        <v>0</v>
      </c>
      <c r="L23" s="2" t="str">
        <f t="shared" si="6"/>
        <v/>
      </c>
      <c r="M23" s="2" t="str">
        <f t="shared" si="7"/>
        <v/>
      </c>
      <c r="N23" s="13">
        <f t="shared" si="1"/>
        <v>0</v>
      </c>
      <c r="O23" s="2" t="str">
        <f t="shared" si="2"/>
        <v/>
      </c>
      <c r="P23" s="2" t="str">
        <f t="shared" si="3"/>
        <v/>
      </c>
    </row>
    <row r="24" spans="1:16">
      <c r="A24" s="2" t="s">
        <v>75</v>
      </c>
      <c r="B24"/>
      <c r="C24"/>
      <c r="D24"/>
      <c r="E24"/>
      <c r="F24" s="3" t="str">
        <f t="shared" si="4"/>
        <v/>
      </c>
      <c r="G24" s="4" t="str">
        <f t="shared" si="8"/>
        <v/>
      </c>
      <c r="H24" s="3" t="str">
        <f t="shared" si="8"/>
        <v/>
      </c>
      <c r="I24" s="4" t="str">
        <f t="shared" si="8"/>
        <v/>
      </c>
      <c r="J24" s="32"/>
      <c r="K24" s="13">
        <f t="shared" si="5"/>
        <v>0</v>
      </c>
      <c r="L24" s="2" t="str">
        <f t="shared" si="6"/>
        <v/>
      </c>
      <c r="M24" s="2" t="str">
        <f t="shared" si="7"/>
        <v/>
      </c>
      <c r="N24" s="13">
        <f t="shared" si="1"/>
        <v>0</v>
      </c>
      <c r="O24" s="2" t="str">
        <f t="shared" si="2"/>
        <v/>
      </c>
      <c r="P24" s="2" t="str">
        <f t="shared" si="3"/>
        <v/>
      </c>
    </row>
    <row r="25" spans="1:16">
      <c r="A25" s="2" t="s">
        <v>76</v>
      </c>
      <c r="B25"/>
      <c r="C25"/>
      <c r="D25"/>
      <c r="E25"/>
      <c r="F25" s="3" t="str">
        <f t="shared" si="4"/>
        <v/>
      </c>
      <c r="G25" s="4" t="str">
        <f t="shared" si="8"/>
        <v/>
      </c>
      <c r="H25" s="3" t="str">
        <f t="shared" si="8"/>
        <v/>
      </c>
      <c r="I25" s="4" t="str">
        <f t="shared" si="8"/>
        <v/>
      </c>
      <c r="J25" s="32"/>
      <c r="K25" s="13">
        <f t="shared" si="5"/>
        <v>0</v>
      </c>
      <c r="L25" s="2" t="str">
        <f t="shared" si="6"/>
        <v/>
      </c>
      <c r="M25" s="2" t="str">
        <f t="shared" si="7"/>
        <v/>
      </c>
      <c r="N25" s="13">
        <f t="shared" si="1"/>
        <v>0</v>
      </c>
      <c r="O25" s="2" t="str">
        <f t="shared" si="2"/>
        <v/>
      </c>
      <c r="P25" s="2" t="str">
        <f t="shared" si="3"/>
        <v/>
      </c>
    </row>
    <row r="26" spans="1:16" ht="15.75" thickBot="1">
      <c r="A26" s="2" t="s">
        <v>77</v>
      </c>
      <c r="B26"/>
      <c r="C26"/>
      <c r="D26"/>
      <c r="E26"/>
      <c r="F26" s="5" t="str">
        <f t="shared" si="4"/>
        <v/>
      </c>
      <c r="G26" s="6" t="str">
        <f t="shared" si="8"/>
        <v/>
      </c>
      <c r="H26" s="5" t="str">
        <f t="shared" si="8"/>
        <v/>
      </c>
      <c r="I26" s="6" t="str">
        <f t="shared" si="8"/>
        <v/>
      </c>
      <c r="J26" s="32"/>
      <c r="K26" s="13">
        <f t="shared" si="5"/>
        <v>0</v>
      </c>
      <c r="L26" s="2" t="str">
        <f t="shared" si="6"/>
        <v/>
      </c>
      <c r="M26" s="2" t="str">
        <f t="shared" si="7"/>
        <v/>
      </c>
      <c r="N26" s="13">
        <f t="shared" si="1"/>
        <v>0</v>
      </c>
      <c r="O26" s="2" t="str">
        <f t="shared" si="2"/>
        <v/>
      </c>
      <c r="P26" s="2" t="str">
        <f t="shared" si="3"/>
        <v/>
      </c>
    </row>
    <row r="28" spans="1:16">
      <c r="A28" s="14" t="s">
        <v>91</v>
      </c>
    </row>
    <row r="29" spans="1:16">
      <c r="A29" s="14"/>
      <c r="H29" s="38" t="s">
        <v>96</v>
      </c>
      <c r="I29" s="36" t="s">
        <v>95</v>
      </c>
      <c r="J29" s="14"/>
      <c r="K29" s="14"/>
      <c r="L29" s="14"/>
    </row>
    <row r="30" spans="1:16">
      <c r="E30" s="2" t="str">
        <f>Low!E30</f>
        <v>Number of participants (K)</v>
      </c>
      <c r="H30" s="13">
        <f>COUNT(G6:G26)</f>
        <v>12</v>
      </c>
      <c r="I30" s="13">
        <f>COUNT(H6:H26)</f>
        <v>12</v>
      </c>
      <c r="J30" s="13"/>
      <c r="K30" s="13"/>
      <c r="L30" s="13"/>
    </row>
    <row r="31" spans="1:16">
      <c r="E31" s="2" t="str">
        <f>Low!E31</f>
        <v>Number of measurements (IK)</v>
      </c>
      <c r="H31" s="13">
        <f>COUNT(F6:G26)</f>
        <v>24</v>
      </c>
      <c r="I31" s="13">
        <f>COUNT(H6:I26)</f>
        <v>24</v>
      </c>
      <c r="J31" s="13"/>
      <c r="K31" s="13"/>
      <c r="L31" s="13"/>
    </row>
    <row r="32" spans="1:16">
      <c r="E32" s="2" t="str">
        <f>Low!E32</f>
        <v>Number of replicates (I)</v>
      </c>
      <c r="H32" s="13">
        <f>IF(K6*H30&lt;&gt;H31,"Calcul impossible",K6)</f>
        <v>2</v>
      </c>
      <c r="I32" s="13">
        <f>IF(N6*I30&lt;&gt;I31,"Calcul impossible",N6)</f>
        <v>2</v>
      </c>
      <c r="J32" s="13"/>
      <c r="K32" s="13"/>
      <c r="L32" s="13"/>
    </row>
    <row r="33" spans="5:19">
      <c r="E33" s="2" t="str">
        <f>Low!E33</f>
        <v>Residual SSr</v>
      </c>
      <c r="H33" s="28">
        <f>SUM(L6:L26)</f>
        <v>3.4821993641687886E-2</v>
      </c>
      <c r="I33" s="28">
        <f>SUM(O6:O26)</f>
        <v>0.16985505319269104</v>
      </c>
      <c r="J33" s="10"/>
      <c r="K33" s="10"/>
      <c r="L33" s="10"/>
    </row>
    <row r="34" spans="5:19">
      <c r="E34" s="2" t="str">
        <f>Low!E34</f>
        <v>Total SSt</v>
      </c>
      <c r="H34" s="28">
        <f>DEVSQ(F6:G26)</f>
        <v>0.12220232560699174</v>
      </c>
      <c r="I34" s="28">
        <f>DEVSQ(H6:I26)</f>
        <v>0.37017252216887186</v>
      </c>
      <c r="J34" s="10"/>
      <c r="K34" s="10"/>
      <c r="L34" s="10"/>
    </row>
    <row r="35" spans="5:19">
      <c r="E35" s="2" t="str">
        <f>Low!E35</f>
        <v>Between-labs SSL</v>
      </c>
      <c r="H35" s="28">
        <f>H34-H33</f>
        <v>8.7380331965303842E-2</v>
      </c>
      <c r="I35" s="28">
        <f>I34-I33</f>
        <v>0.20031746897618083</v>
      </c>
      <c r="J35" s="10"/>
      <c r="K35" s="10"/>
      <c r="L35" s="10"/>
    </row>
    <row r="36" spans="5:19">
      <c r="E36" s="2" t="str">
        <f>Low!E36</f>
        <v>Intermediate value for s²L</v>
      </c>
      <c r="H36" s="28">
        <f>((H35/(H30-1))-H37)/H32</f>
        <v>2.5209168694131793E-3</v>
      </c>
      <c r="I36" s="28">
        <f>((I35/(I30-1))-I37)/I32</f>
        <v>2.0280456158885173E-3</v>
      </c>
      <c r="J36" s="10"/>
      <c r="K36" s="10"/>
      <c r="L36" s="10"/>
    </row>
    <row r="37" spans="5:19">
      <c r="E37" s="2" t="str">
        <f>Low!E37</f>
        <v>Repeatability (within) variance (s²r)</v>
      </c>
      <c r="H37" s="28">
        <f>H33/(H31-H30)</f>
        <v>2.9018328034739905E-3</v>
      </c>
      <c r="I37" s="28">
        <f>I33/(I31-I30)</f>
        <v>1.4154587766057587E-2</v>
      </c>
      <c r="J37" s="10"/>
      <c r="K37" s="10"/>
      <c r="L37" s="10"/>
    </row>
    <row r="38" spans="5:19">
      <c r="E38" s="2" t="str">
        <f>Low!E38</f>
        <v>Between-labs variance (s²L)</v>
      </c>
      <c r="H38" s="28">
        <f>IF(H36&lt;0,0,H36)</f>
        <v>2.5209168694131793E-3</v>
      </c>
      <c r="I38" s="28">
        <f>IF(I36&lt;0,0,I36)</f>
        <v>2.0280456158885173E-3</v>
      </c>
      <c r="J38" s="10"/>
      <c r="K38" s="10"/>
      <c r="L38" s="10"/>
    </row>
    <row r="39" spans="5:19">
      <c r="E39" s="2" t="str">
        <f>Low!E39</f>
        <v>Reproducibility variance (s²R)</v>
      </c>
      <c r="H39" s="28">
        <f>SUM(H37:H38)</f>
        <v>5.4227496728871697E-3</v>
      </c>
      <c r="I39" s="28">
        <f>SUM(I37:I38)</f>
        <v>1.6182633381946105E-2</v>
      </c>
      <c r="J39" s="10"/>
      <c r="K39" s="10"/>
      <c r="L39" s="10"/>
    </row>
    <row r="40" spans="5:19" s="1" customFormat="1" ht="15.75">
      <c r="E40" s="1" t="str">
        <f>Low!E40</f>
        <v>Precision</v>
      </c>
    </row>
    <row r="41" spans="5:19">
      <c r="E41" s="14" t="s">
        <v>94</v>
      </c>
      <c r="H41" s="29">
        <f>AVERAGE(F6:G26)</f>
        <v>2.8953866700839739</v>
      </c>
      <c r="I41" s="29">
        <f>AVERAGE(H6:I26)</f>
        <v>2.9490285329825086</v>
      </c>
      <c r="J41" s="31"/>
      <c r="K41" s="31"/>
      <c r="L41" s="31"/>
    </row>
    <row r="42" spans="5:19" ht="12" customHeight="1">
      <c r="E42" s="2" t="str">
        <f>Low!E42</f>
        <v>Repeatability standard deviation (sr)</v>
      </c>
      <c r="H42" s="29">
        <f t="shared" ref="H42:I44" si="9">SQRT(H37)</f>
        <v>5.3868662536524801E-2</v>
      </c>
      <c r="I42" s="29">
        <f t="shared" si="9"/>
        <v>0.11897305478997161</v>
      </c>
      <c r="J42" s="31"/>
      <c r="K42" s="31"/>
      <c r="L42" s="31"/>
    </row>
    <row r="43" spans="5:19">
      <c r="E43" s="2" t="str">
        <f>Low!E43</f>
        <v>Between-labs standard deviation (sL)</v>
      </c>
      <c r="H43" s="29">
        <f t="shared" si="9"/>
        <v>5.0208732999481066E-2</v>
      </c>
      <c r="I43" s="29">
        <f t="shared" si="9"/>
        <v>4.5033827462125815E-2</v>
      </c>
      <c r="J43" s="31"/>
      <c r="K43" s="31"/>
      <c r="L43" s="31"/>
    </row>
    <row r="44" spans="5:19">
      <c r="E44" s="2" t="str">
        <f>Low!E44</f>
        <v>Reproducibility standard deviation (sR)</v>
      </c>
      <c r="H44" s="29">
        <f t="shared" si="9"/>
        <v>7.3639321512946943E-2</v>
      </c>
      <c r="I44" s="29">
        <f t="shared" si="9"/>
        <v>0.12721097980106161</v>
      </c>
      <c r="J44" s="31"/>
      <c r="K44" s="31"/>
      <c r="L44" s="31"/>
    </row>
    <row r="45" spans="5:19" s="1" customFormat="1" ht="15.75">
      <c r="E45" s="1" t="str">
        <f>Low!E45</f>
        <v>Trueness</v>
      </c>
      <c r="H45" s="30"/>
      <c r="I45" s="30"/>
      <c r="J45" s="21"/>
      <c r="K45" s="21"/>
      <c r="L45" s="21"/>
    </row>
    <row r="46" spans="5:19">
      <c r="E46" s="2" t="str">
        <f>Low!E46</f>
        <v>Bias</v>
      </c>
      <c r="H46" s="29">
        <f>H41-F2</f>
        <v>0</v>
      </c>
      <c r="I46" s="29">
        <f>I41-F2</f>
        <v>5.3641862898534676E-2</v>
      </c>
      <c r="J46" s="31"/>
      <c r="K46" s="31"/>
      <c r="L46" s="31"/>
    </row>
    <row r="47" spans="5:19" s="1" customFormat="1" ht="15.75">
      <c r="E47" s="1" t="s">
        <v>78</v>
      </c>
      <c r="H47" s="30"/>
      <c r="I47" s="30"/>
    </row>
    <row r="48" spans="5:19">
      <c r="E48" s="2" t="str">
        <f>Low!E48</f>
        <v>Variances ratio (R)</v>
      </c>
      <c r="H48" s="29">
        <f>H38/H37</f>
        <v>0.86873263903944098</v>
      </c>
      <c r="I48" s="29">
        <f>I38/I37</f>
        <v>0.14327832427248283</v>
      </c>
      <c r="J48" s="31"/>
      <c r="K48" s="31"/>
      <c r="L48" s="31"/>
      <c r="S48" s="10"/>
    </row>
    <row r="49" spans="5:19">
      <c r="E49" s="2" t="str">
        <f>Low!E49</f>
        <v>Coefficient B²</v>
      </c>
      <c r="H49" s="29">
        <f>(H48+1)/(H32*H48+1)</f>
        <v>0.68265071853290993</v>
      </c>
      <c r="I49" s="29">
        <f>(I48+1)/(I32*I48+1)</f>
        <v>0.88863426695239278</v>
      </c>
      <c r="J49" s="31"/>
      <c r="K49" s="31"/>
      <c r="L49" s="31"/>
      <c r="S49" s="10"/>
    </row>
    <row r="50" spans="5:19">
      <c r="E50" s="2" t="str">
        <f>Low!E50</f>
        <v>Intermediate coefficient</v>
      </c>
      <c r="H50" s="29">
        <f>SQRT(1+1/(H31*H49))</f>
        <v>1.0300662998844212</v>
      </c>
      <c r="I50" s="29">
        <f>SQRT(1+1/(I31*I49))</f>
        <v>1.0231756599802591</v>
      </c>
      <c r="J50" s="31"/>
      <c r="K50" s="31"/>
      <c r="L50" s="31"/>
      <c r="S50" s="10"/>
    </row>
    <row r="51" spans="5:19" ht="15.75" thickBot="1">
      <c r="E51" s="2" t="str">
        <f>Low!E51</f>
        <v>Corrected number of dof</v>
      </c>
      <c r="H51" s="29">
        <f>(H48+1)^2/((H48+1/H32)^2/(H30-1)+(1-1/H32)/H31)</f>
        <v>18.269693202642575</v>
      </c>
      <c r="I51" s="29">
        <f>(I48+1)^2/((I48+1/I32)^2/(I30-1)+(1-1/I32)/I31)</f>
        <v>22.361628919225748</v>
      </c>
      <c r="J51" s="31"/>
      <c r="K51" s="31"/>
      <c r="L51" s="31"/>
      <c r="S51" s="10"/>
    </row>
    <row r="52" spans="5:19" ht="15.75" thickBot="1">
      <c r="E52" s="2" t="str">
        <f>Low!E52</f>
        <v>Tolerance interval probability (beta)</v>
      </c>
      <c r="I52" s="42">
        <f>Summary!C5</f>
        <v>0.8</v>
      </c>
      <c r="J52" s="40"/>
      <c r="K52" s="40"/>
      <c r="L52" s="40"/>
      <c r="S52" s="10"/>
    </row>
    <row r="53" spans="5:19">
      <c r="E53" s="2" t="str">
        <f>Low!E53</f>
        <v>Student t low</v>
      </c>
      <c r="H53" s="29"/>
      <c r="I53" s="29">
        <f>TINV(1-I52,ROUNDDOWN(I51,0))</f>
        <v>1.3212367416538635</v>
      </c>
      <c r="J53" s="31"/>
      <c r="K53" s="31"/>
      <c r="L53" s="31"/>
      <c r="S53" s="10"/>
    </row>
    <row r="54" spans="5:19">
      <c r="E54" s="2" t="str">
        <f>Low!E54</f>
        <v>Student high</v>
      </c>
      <c r="H54" s="29"/>
      <c r="I54" s="29">
        <f>TINV(1-I52,ROUNDUP(I51,0))</f>
        <v>1.3194602398508177</v>
      </c>
      <c r="J54" s="31"/>
      <c r="K54" s="31"/>
      <c r="L54" s="31"/>
      <c r="S54" s="10"/>
    </row>
    <row r="55" spans="5:19">
      <c r="E55" s="2" t="str">
        <f>Low!E55</f>
        <v>Interpolated Student t</v>
      </c>
      <c r="H55" s="29"/>
      <c r="I55" s="29">
        <f>I53-(I53-I54)*(I51-ROUNDDOWN(I51,0))</f>
        <v>1.3205943072268256</v>
      </c>
      <c r="J55" s="31"/>
      <c r="K55" s="31"/>
      <c r="L55" s="31"/>
      <c r="S55" s="10"/>
    </row>
    <row r="56" spans="5:19">
      <c r="E56" s="2" t="str">
        <f>Low!E56</f>
        <v>Coverage factor</v>
      </c>
      <c r="H56" s="29"/>
      <c r="I56" s="29">
        <f>I55*I50</f>
        <v>1.3511999518629803</v>
      </c>
      <c r="J56" s="31"/>
      <c r="K56" s="31"/>
      <c r="L56" s="31"/>
      <c r="S56" s="10"/>
    </row>
    <row r="57" spans="5:19">
      <c r="E57" s="2" t="str">
        <f>Low!E57</f>
        <v>Tolerance interval standard deviation</v>
      </c>
      <c r="H57" s="29"/>
      <c r="I57" s="29">
        <f>I44*I50</f>
        <v>0.13015917821468662</v>
      </c>
      <c r="J57" s="31"/>
      <c r="K57" s="31"/>
      <c r="L57" s="31"/>
      <c r="S57" s="10"/>
    </row>
    <row r="58" spans="5:19" s="1" customFormat="1" ht="15.75">
      <c r="E58" s="1" t="str">
        <f>Low!E58</f>
        <v>beta Expectation Tolerance Interval Limits</v>
      </c>
      <c r="H58" s="30"/>
      <c r="I58" s="30"/>
    </row>
    <row r="59" spans="5:19">
      <c r="E59" s="2" t="str">
        <f>Low!E59</f>
        <v>Lower TI limit</v>
      </c>
      <c r="H59" s="29"/>
      <c r="I59" s="29">
        <f>I41-I56*I44</f>
        <v>2.7771410631988713</v>
      </c>
      <c r="J59" s="31"/>
      <c r="K59" s="31"/>
      <c r="L59" s="31"/>
      <c r="S59" s="10"/>
    </row>
    <row r="60" spans="5:19">
      <c r="E60" s="2" t="str">
        <f>Low!E60</f>
        <v>Upper TI limit</v>
      </c>
      <c r="H60" s="29"/>
      <c r="I60" s="29">
        <f>I41+I56*I44</f>
        <v>3.1209160027661458</v>
      </c>
      <c r="J60" s="31"/>
      <c r="K60" s="31"/>
      <c r="L60" s="31"/>
      <c r="S60" s="10"/>
    </row>
  </sheetData>
  <sheetProtection password="8F34" sheet="1" objects="1" scenarios="1"/>
  <phoneticPr fontId="2" type="noConversion"/>
  <printOptions horizontalCentered="1" verticalCentered="1" gridLines="1"/>
  <pageMargins left="0.78740157480314965" right="0.78740157480314965" top="0.55118110236220474" bottom="0.55118110236220474" header="0.31496062992125984" footer="0.35433070866141736"/>
  <pageSetup paperSize="9" scale="104" orientation="landscape" horizontalDpi="300" verticalDpi="300" r:id="rId1"/>
  <headerFooter alignWithMargins="0">
    <oddHeader>&amp;CISO 16140-2</oddHeader>
    <oddFooter>&amp;C&amp;A&amp;R&amp;P</oddFooter>
  </headerFooter>
  <rowBreaks count="1" manualBreakCount="1">
    <brk id="27" max="16383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7"/>
  <dimension ref="A1:S60"/>
  <sheetViews>
    <sheetView zoomScaleNormal="100" workbookViewId="0">
      <selection activeCell="B6" sqref="B6:E17"/>
    </sheetView>
  </sheetViews>
  <sheetFormatPr baseColWidth="10" defaultColWidth="11.42578125" defaultRowHeight="15"/>
  <cols>
    <col min="1" max="1" width="11.28515625" style="2" customWidth="1"/>
    <col min="2" max="5" width="13.140625" style="2" customWidth="1"/>
    <col min="6" max="6" width="14.28515625" style="2" customWidth="1"/>
    <col min="7" max="7" width="14.7109375" style="2" customWidth="1"/>
    <col min="8" max="8" width="14.28515625" style="2" customWidth="1"/>
    <col min="9" max="9" width="15.140625" style="2" customWidth="1"/>
    <col min="10" max="10" width="3.140625" style="2" customWidth="1"/>
    <col min="11" max="11" width="7" style="2" customWidth="1"/>
    <col min="12" max="12" width="6.85546875" style="2" bestFit="1" customWidth="1"/>
    <col min="13" max="13" width="9.140625" style="2" bestFit="1" customWidth="1"/>
    <col min="14" max="14" width="6.5703125" style="2" customWidth="1"/>
    <col min="15" max="15" width="7.5703125" style="2" customWidth="1"/>
    <col min="16" max="16" width="9.140625" style="2" bestFit="1" customWidth="1"/>
    <col min="17" max="17" width="4.5703125" style="2" customWidth="1"/>
    <col min="18" max="16384" width="11.42578125" style="2"/>
  </cols>
  <sheetData>
    <row r="1" spans="1:16" s="1" customFormat="1" ht="15.75">
      <c r="A1" s="1" t="s">
        <v>23</v>
      </c>
    </row>
    <row r="2" spans="1:16" s="1" customFormat="1" ht="15.75">
      <c r="D2" s="1" t="str">
        <f>Low!D2</f>
        <v>Target value</v>
      </c>
      <c r="F2" s="21">
        <f>AVERAGE(F6:G26)</f>
        <v>3.9169440415091064</v>
      </c>
    </row>
    <row r="4" spans="1:16" s="1" customFormat="1" ht="15.75">
      <c r="B4" s="23" t="s">
        <v>106</v>
      </c>
      <c r="C4" s="22"/>
      <c r="D4" s="33" t="s">
        <v>107</v>
      </c>
      <c r="E4" s="34"/>
      <c r="F4" s="23" t="s">
        <v>108</v>
      </c>
      <c r="G4" s="22"/>
      <c r="H4" s="33" t="s">
        <v>109</v>
      </c>
      <c r="I4" s="34"/>
      <c r="J4" s="22"/>
      <c r="K4" s="23" t="s">
        <v>92</v>
      </c>
      <c r="L4" s="22"/>
      <c r="M4" s="22"/>
      <c r="N4" s="33" t="s">
        <v>93</v>
      </c>
      <c r="O4" s="34"/>
      <c r="P4" s="34"/>
    </row>
    <row r="5" spans="1:16" s="1" customFormat="1" ht="15.75">
      <c r="B5" s="22" t="str">
        <f>Low!B5</f>
        <v>Duplicate 1</v>
      </c>
      <c r="C5" s="22" t="str">
        <f>Low!C5</f>
        <v>Duplicate 2</v>
      </c>
      <c r="D5" s="34" t="str">
        <f>Low!D5</f>
        <v>Duplicate 1</v>
      </c>
      <c r="E5" s="34" t="str">
        <f>Low!E5</f>
        <v>Duplicate 2</v>
      </c>
      <c r="F5" s="22" t="str">
        <f>Low!F5</f>
        <v>Duplicate 1</v>
      </c>
      <c r="G5" s="22" t="str">
        <f>Low!G5</f>
        <v>Duplicate 2</v>
      </c>
      <c r="H5" s="34" t="str">
        <f>Low!H5</f>
        <v>Duplicate 1</v>
      </c>
      <c r="I5" s="34" t="str">
        <f>Low!I5</f>
        <v>Duplicate 2</v>
      </c>
      <c r="J5" s="22"/>
      <c r="K5" s="22" t="str">
        <f>Low!K5</f>
        <v>I</v>
      </c>
      <c r="L5" s="22" t="str">
        <f>Low!L5</f>
        <v>SSk</v>
      </c>
      <c r="M5" s="22" t="str">
        <f>Low!M5</f>
        <v>Average</v>
      </c>
      <c r="N5" s="34" t="str">
        <f>Low!N5</f>
        <v>I</v>
      </c>
      <c r="O5" s="34" t="str">
        <f>Low!O5</f>
        <v>SSk</v>
      </c>
      <c r="P5" s="34" t="str">
        <f>Low!P5</f>
        <v>Average</v>
      </c>
    </row>
    <row r="6" spans="1:16">
      <c r="A6" s="2" t="s">
        <v>57</v>
      </c>
      <c r="B6" s="8">
        <f>'DataSet 2'!B31</f>
        <v>8900</v>
      </c>
      <c r="C6" s="50">
        <f>'DataSet 2'!C31</f>
        <v>9000</v>
      </c>
      <c r="D6" s="50">
        <f>'DataSet 2'!D31</f>
        <v>12000</v>
      </c>
      <c r="E6" s="50">
        <f>'DataSet 2'!E31</f>
        <v>5200</v>
      </c>
      <c r="F6" s="3">
        <f>IF(B6&gt;0,LOG10(B6),"")</f>
        <v>3.9493900066449128</v>
      </c>
      <c r="G6" s="4">
        <f t="shared" ref="G6:I21" si="0">IF(C6&gt;0,LOG10(C6),"")</f>
        <v>3.9542425094393248</v>
      </c>
      <c r="H6" s="3">
        <f t="shared" si="0"/>
        <v>4.0791812460476251</v>
      </c>
      <c r="I6" s="4">
        <f t="shared" si="0"/>
        <v>3.716003343634799</v>
      </c>
      <c r="J6" s="32"/>
      <c r="K6" s="13">
        <f>COUNT(F6:G6)</f>
        <v>2</v>
      </c>
      <c r="L6" s="2">
        <f>IF(K6=0,"",DEVSQ(F6:G6))</f>
        <v>1.1773391684887948E-5</v>
      </c>
      <c r="M6" s="2">
        <f>IF(K6=0,"",AVERAGE(F6:G6))</f>
        <v>3.9518162580421188</v>
      </c>
      <c r="N6" s="13">
        <f t="shared" ref="N6:N26" si="1">COUNT(H6:I6)</f>
        <v>2</v>
      </c>
      <c r="O6" s="2">
        <f t="shared" ref="O6:O26" si="2">IF(N6=0,"",DEVSQ(H6:I6))</f>
        <v>6.5949094400490127E-2</v>
      </c>
      <c r="P6" s="2">
        <f t="shared" ref="P6:P26" si="3">IF(N6=0,"",AVERAGE(H6:I6))</f>
        <v>3.8975922948412123</v>
      </c>
    </row>
    <row r="7" spans="1:16">
      <c r="A7" s="2" t="s">
        <v>58</v>
      </c>
      <c r="B7" s="50">
        <f>'DataSet 2'!B32</f>
        <v>10000</v>
      </c>
      <c r="C7" s="50">
        <f>'DataSet 2'!C32</f>
        <v>8300</v>
      </c>
      <c r="D7" s="50">
        <f>'DataSet 2'!D32</f>
        <v>21000</v>
      </c>
      <c r="E7" s="50">
        <f>'DataSet 2'!E32</f>
        <v>11000</v>
      </c>
      <c r="F7" s="3">
        <f t="shared" ref="F7:F26" si="4">IF(B7&gt;0,LOG10(B7),"")</f>
        <v>4</v>
      </c>
      <c r="G7" s="4">
        <f t="shared" si="0"/>
        <v>3.9190780923760737</v>
      </c>
      <c r="H7" s="3">
        <f t="shared" si="0"/>
        <v>4.3222192947339195</v>
      </c>
      <c r="I7" s="4">
        <f t="shared" si="0"/>
        <v>4.0413926851582254</v>
      </c>
      <c r="J7" s="32"/>
      <c r="K7" s="13">
        <f t="shared" ref="K7:K26" si="5">COUNT(F7:G7)</f>
        <v>2</v>
      </c>
      <c r="L7" s="2">
        <f t="shared" ref="L7:L26" si="6">IF(K7=0,"",DEVSQ(F7:G7))</f>
        <v>3.2741775667476272E-3</v>
      </c>
      <c r="M7" s="2">
        <f t="shared" ref="M7:M26" si="7">IF(K7=0,"",AVERAGE(F7:G7))</f>
        <v>3.9595390461880369</v>
      </c>
      <c r="N7" s="13">
        <f t="shared" si="1"/>
        <v>2</v>
      </c>
      <c r="O7" s="2">
        <f t="shared" si="2"/>
        <v>3.9431792322889681E-2</v>
      </c>
      <c r="P7" s="2">
        <f t="shared" si="3"/>
        <v>4.1818059899460724</v>
      </c>
    </row>
    <row r="8" spans="1:16">
      <c r="A8" s="2" t="s">
        <v>59</v>
      </c>
      <c r="B8" s="50">
        <f>'DataSet 2'!B33</f>
        <v>7000</v>
      </c>
      <c r="C8" s="50">
        <f>'DataSet 2'!C33</f>
        <v>7100</v>
      </c>
      <c r="D8" s="50">
        <f>'DataSet 2'!D33</f>
        <v>9100</v>
      </c>
      <c r="E8" s="50">
        <f>'DataSet 2'!E33</f>
        <v>12000</v>
      </c>
      <c r="F8" s="3">
        <f t="shared" si="4"/>
        <v>3.8450980400142569</v>
      </c>
      <c r="G8" s="4">
        <f t="shared" si="0"/>
        <v>3.8512583487190755</v>
      </c>
      <c r="H8" s="3">
        <f t="shared" si="0"/>
        <v>3.9590413923210934</v>
      </c>
      <c r="I8" s="4">
        <f t="shared" si="0"/>
        <v>4.0791812460476251</v>
      </c>
      <c r="J8" s="32"/>
      <c r="K8" s="13">
        <f t="shared" si="5"/>
        <v>2</v>
      </c>
      <c r="L8" s="2">
        <f t="shared" si="6"/>
        <v>1.897470166933154E-5</v>
      </c>
      <c r="M8" s="2">
        <f t="shared" si="7"/>
        <v>3.8481781943666662</v>
      </c>
      <c r="N8" s="13">
        <f t="shared" si="1"/>
        <v>2</v>
      </c>
      <c r="O8" s="2">
        <f t="shared" si="2"/>
        <v>7.2167922267162149E-3</v>
      </c>
      <c r="P8" s="2">
        <f t="shared" si="3"/>
        <v>4.0191113191843595</v>
      </c>
    </row>
    <row r="9" spans="1:16">
      <c r="A9" s="2" t="s">
        <v>60</v>
      </c>
      <c r="B9" s="50">
        <f>'DataSet 2'!B34</f>
        <v>7800</v>
      </c>
      <c r="C9" s="50">
        <f>'DataSet 2'!C34</f>
        <v>8900</v>
      </c>
      <c r="D9" s="50">
        <f>'DataSet 2'!D34</f>
        <v>12000</v>
      </c>
      <c r="E9" s="50">
        <f>'DataSet 2'!E34</f>
        <v>11000</v>
      </c>
      <c r="F9" s="3">
        <f t="shared" si="4"/>
        <v>3.8920946026904804</v>
      </c>
      <c r="G9" s="4">
        <f t="shared" si="0"/>
        <v>3.9493900066449128</v>
      </c>
      <c r="H9" s="3">
        <f t="shared" si="0"/>
        <v>4.0791812460476251</v>
      </c>
      <c r="I9" s="4">
        <f t="shared" si="0"/>
        <v>4.0413926851582254</v>
      </c>
      <c r="J9" s="32"/>
      <c r="K9" s="13">
        <f t="shared" si="5"/>
        <v>2</v>
      </c>
      <c r="L9" s="2">
        <f t="shared" si="6"/>
        <v>1.6413816571507966E-3</v>
      </c>
      <c r="M9" s="2">
        <f t="shared" si="7"/>
        <v>3.9207423046676966</v>
      </c>
      <c r="N9" s="13">
        <f t="shared" si="1"/>
        <v>2</v>
      </c>
      <c r="O9" s="2">
        <f t="shared" si="2"/>
        <v>7.1398766704593609E-4</v>
      </c>
      <c r="P9" s="2">
        <f t="shared" si="3"/>
        <v>4.0602869656029252</v>
      </c>
    </row>
    <row r="10" spans="1:16">
      <c r="A10" s="2" t="s">
        <v>61</v>
      </c>
      <c r="B10" s="50">
        <f>'DataSet 2'!B35</f>
        <v>8500</v>
      </c>
      <c r="C10" s="50">
        <f>'DataSet 2'!C35</f>
        <v>9700</v>
      </c>
      <c r="D10" s="50">
        <f>'DataSet 2'!D35</f>
        <v>11000</v>
      </c>
      <c r="E10" s="50">
        <f>'DataSet 2'!E35</f>
        <v>7800</v>
      </c>
      <c r="F10" s="3">
        <f t="shared" si="4"/>
        <v>3.9294189257142929</v>
      </c>
      <c r="G10" s="4">
        <f t="shared" si="0"/>
        <v>3.9867717342662448</v>
      </c>
      <c r="H10" s="3">
        <f t="shared" si="0"/>
        <v>4.0413926851582254</v>
      </c>
      <c r="I10" s="4">
        <f t="shared" si="0"/>
        <v>3.8920946026904804</v>
      </c>
      <c r="J10" s="32"/>
      <c r="K10" s="13">
        <f t="shared" si="5"/>
        <v>2</v>
      </c>
      <c r="L10" s="2">
        <f t="shared" si="6"/>
        <v>1.6446723243984237E-3</v>
      </c>
      <c r="M10" s="2">
        <f t="shared" si="7"/>
        <v>3.958095329990269</v>
      </c>
      <c r="N10" s="13">
        <f t="shared" si="1"/>
        <v>2</v>
      </c>
      <c r="O10" s="2">
        <f t="shared" si="2"/>
        <v>1.1144958714272794E-2</v>
      </c>
      <c r="P10" s="2">
        <f t="shared" si="3"/>
        <v>3.9667436439243531</v>
      </c>
    </row>
    <row r="11" spans="1:16">
      <c r="A11" s="2" t="s">
        <v>62</v>
      </c>
      <c r="B11" s="50">
        <f>'DataSet 2'!B36</f>
        <v>8700</v>
      </c>
      <c r="C11" s="50">
        <f>'DataSet 2'!C36</f>
        <v>8500</v>
      </c>
      <c r="D11" s="50">
        <f>'DataSet 2'!D36</f>
        <v>11000</v>
      </c>
      <c r="E11" s="50">
        <f>'DataSet 2'!E36</f>
        <v>12000</v>
      </c>
      <c r="F11" s="3">
        <f t="shared" si="4"/>
        <v>3.9395192526186187</v>
      </c>
      <c r="G11" s="4">
        <f t="shared" si="0"/>
        <v>3.9294189257142929</v>
      </c>
      <c r="H11" s="3">
        <f t="shared" si="0"/>
        <v>4.0413926851582254</v>
      </c>
      <c r="I11" s="4">
        <f t="shared" si="0"/>
        <v>4.0791812460476251</v>
      </c>
      <c r="J11" s="32"/>
      <c r="K11" s="13">
        <f t="shared" si="5"/>
        <v>2</v>
      </c>
      <c r="L11" s="2">
        <f t="shared" si="6"/>
        <v>5.1008301787124096E-5</v>
      </c>
      <c r="M11" s="2">
        <f t="shared" si="7"/>
        <v>3.9344690891664555</v>
      </c>
      <c r="N11" s="13">
        <f t="shared" si="1"/>
        <v>2</v>
      </c>
      <c r="O11" s="2">
        <f t="shared" si="2"/>
        <v>7.1398766704593609E-4</v>
      </c>
      <c r="P11" s="2">
        <f t="shared" si="3"/>
        <v>4.0602869656029252</v>
      </c>
    </row>
    <row r="12" spans="1:16">
      <c r="A12" s="2" t="s">
        <v>63</v>
      </c>
      <c r="B12" s="50">
        <f>'DataSet 2'!B37</f>
        <v>7000</v>
      </c>
      <c r="C12" s="50">
        <f>'DataSet 2'!C37</f>
        <v>5900</v>
      </c>
      <c r="D12" s="50">
        <f>'DataSet 2'!D37</f>
        <v>9100</v>
      </c>
      <c r="E12" s="50">
        <f>'DataSet 2'!E37</f>
        <v>21000</v>
      </c>
      <c r="F12" s="3">
        <f t="shared" si="4"/>
        <v>3.8450980400142569</v>
      </c>
      <c r="G12" s="4">
        <f t="shared" si="0"/>
        <v>3.7708520116421442</v>
      </c>
      <c r="H12" s="3">
        <f t="shared" si="0"/>
        <v>3.9590413923210934</v>
      </c>
      <c r="I12" s="4">
        <f t="shared" si="0"/>
        <v>4.3222192947339195</v>
      </c>
      <c r="J12" s="32"/>
      <c r="K12" s="13">
        <f t="shared" si="5"/>
        <v>2</v>
      </c>
      <c r="L12" s="2">
        <f t="shared" si="6"/>
        <v>2.7562363645162813E-3</v>
      </c>
      <c r="M12" s="2">
        <f t="shared" si="7"/>
        <v>3.8079750258282008</v>
      </c>
      <c r="N12" s="13">
        <f t="shared" si="1"/>
        <v>2</v>
      </c>
      <c r="O12" s="2">
        <f t="shared" si="2"/>
        <v>6.5949094400490127E-2</v>
      </c>
      <c r="P12" s="2">
        <f t="shared" si="3"/>
        <v>4.1406303435275067</v>
      </c>
    </row>
    <row r="13" spans="1:16">
      <c r="A13" s="2" t="s">
        <v>64</v>
      </c>
      <c r="B13" s="50">
        <f>'DataSet 2'!B38</f>
        <v>7800</v>
      </c>
      <c r="C13" s="50">
        <f>'DataSet 2'!C38</f>
        <v>9000</v>
      </c>
      <c r="D13" s="50">
        <f>'DataSet 2'!D38</f>
        <v>21000</v>
      </c>
      <c r="E13" s="50">
        <f>'DataSet 2'!E38</f>
        <v>25000</v>
      </c>
      <c r="F13" s="3">
        <f t="shared" si="4"/>
        <v>3.8920946026904804</v>
      </c>
      <c r="G13" s="4">
        <f t="shared" si="0"/>
        <v>3.9542425094393248</v>
      </c>
      <c r="H13" s="3">
        <f t="shared" si="0"/>
        <v>4.3222192947339195</v>
      </c>
      <c r="I13" s="4">
        <f t="shared" si="0"/>
        <v>4.3979400086720375</v>
      </c>
      <c r="J13" s="32"/>
      <c r="K13" s="13">
        <f t="shared" si="5"/>
        <v>2</v>
      </c>
      <c r="L13" s="2">
        <f t="shared" si="6"/>
        <v>1.9311811566315299E-3</v>
      </c>
      <c r="M13" s="2">
        <f t="shared" si="7"/>
        <v>3.9231685560649026</v>
      </c>
      <c r="N13" s="13">
        <f t="shared" si="1"/>
        <v>2</v>
      </c>
      <c r="O13" s="2">
        <f t="shared" si="2"/>
        <v>2.8668132596491461E-3</v>
      </c>
      <c r="P13" s="2">
        <f t="shared" si="3"/>
        <v>4.3600796517029785</v>
      </c>
    </row>
    <row r="14" spans="1:16">
      <c r="A14" s="2" t="s">
        <v>65</v>
      </c>
      <c r="B14" s="50">
        <f>'DataSet 2'!B39</f>
        <v>8600</v>
      </c>
      <c r="C14" s="50">
        <f>'DataSet 2'!C39</f>
        <v>8800</v>
      </c>
      <c r="D14" s="50">
        <f>'DataSet 2'!D39</f>
        <v>12000</v>
      </c>
      <c r="E14" s="50">
        <f>'DataSet 2'!E39</f>
        <v>15000</v>
      </c>
      <c r="F14" s="3">
        <f t="shared" si="4"/>
        <v>3.9344984512435679</v>
      </c>
      <c r="G14" s="4">
        <f t="shared" si="0"/>
        <v>3.9444826721501687</v>
      </c>
      <c r="H14" s="3">
        <f t="shared" si="0"/>
        <v>4.0791812460476251</v>
      </c>
      <c r="I14" s="4">
        <f t="shared" si="0"/>
        <v>4.1760912590556813</v>
      </c>
      <c r="J14" s="32"/>
      <c r="K14" s="13">
        <f t="shared" si="5"/>
        <v>2</v>
      </c>
      <c r="L14" s="2">
        <f t="shared" si="6"/>
        <v>4.9842333555902078E-5</v>
      </c>
      <c r="M14" s="2">
        <f t="shared" si="7"/>
        <v>3.9394905616968683</v>
      </c>
      <c r="N14" s="13">
        <f t="shared" si="1"/>
        <v>2</v>
      </c>
      <c r="O14" s="2">
        <f t="shared" si="2"/>
        <v>4.695775310610815E-3</v>
      </c>
      <c r="P14" s="2">
        <f t="shared" si="3"/>
        <v>4.1276362525516532</v>
      </c>
    </row>
    <row r="15" spans="1:16">
      <c r="A15" s="2" t="s">
        <v>66</v>
      </c>
      <c r="B15" s="50">
        <f>'DataSet 2'!B40</f>
        <v>7000</v>
      </c>
      <c r="C15" s="50">
        <f>'DataSet 2'!C40</f>
        <v>7400</v>
      </c>
      <c r="D15" s="50">
        <f>'DataSet 2'!D40</f>
        <v>9100</v>
      </c>
      <c r="E15" s="50">
        <f>'DataSet 2'!E40</f>
        <v>7800</v>
      </c>
      <c r="F15" s="3">
        <f t="shared" si="4"/>
        <v>3.8450980400142569</v>
      </c>
      <c r="G15" s="4">
        <f t="shared" si="0"/>
        <v>3.8692317197309762</v>
      </c>
      <c r="H15" s="3">
        <f t="shared" si="0"/>
        <v>3.9590413923210934</v>
      </c>
      <c r="I15" s="4">
        <f t="shared" si="0"/>
        <v>3.8920946026904804</v>
      </c>
      <c r="J15" s="32"/>
      <c r="K15" s="13">
        <f t="shared" si="5"/>
        <v>2</v>
      </c>
      <c r="L15" s="2">
        <f t="shared" si="6"/>
        <v>2.9121724833459461E-4</v>
      </c>
      <c r="M15" s="2">
        <f t="shared" si="7"/>
        <v>3.8571648798726166</v>
      </c>
      <c r="N15" s="13">
        <f t="shared" si="1"/>
        <v>2</v>
      </c>
      <c r="O15" s="2">
        <f t="shared" si="2"/>
        <v>2.2409363209227808E-3</v>
      </c>
      <c r="P15" s="2">
        <f t="shared" si="3"/>
        <v>3.9255679975057869</v>
      </c>
    </row>
    <row r="16" spans="1:16">
      <c r="A16" s="2" t="s">
        <v>67</v>
      </c>
      <c r="B16" s="50">
        <f>'DataSet 2'!B41</f>
        <v>7800</v>
      </c>
      <c r="C16" s="50">
        <f>'DataSet 2'!C41</f>
        <v>9000</v>
      </c>
      <c r="D16" s="50">
        <f>'DataSet 2'!D41</f>
        <v>12000</v>
      </c>
      <c r="E16" s="50">
        <f>'DataSet 2'!E41</f>
        <v>11000</v>
      </c>
      <c r="F16" s="3">
        <f t="shared" si="4"/>
        <v>3.8920946026904804</v>
      </c>
      <c r="G16" s="4">
        <f t="shared" si="0"/>
        <v>3.9542425094393248</v>
      </c>
      <c r="H16" s="3">
        <f t="shared" si="0"/>
        <v>4.0791812460476251</v>
      </c>
      <c r="I16" s="4">
        <f t="shared" si="0"/>
        <v>4.0413926851582254</v>
      </c>
      <c r="J16" s="32"/>
      <c r="K16" s="13">
        <f t="shared" si="5"/>
        <v>2</v>
      </c>
      <c r="L16" s="2">
        <f t="shared" si="6"/>
        <v>1.9311811566315299E-3</v>
      </c>
      <c r="M16" s="2">
        <f t="shared" si="7"/>
        <v>3.9231685560649026</v>
      </c>
      <c r="N16" s="13">
        <f t="shared" si="1"/>
        <v>2</v>
      </c>
      <c r="O16" s="2">
        <f t="shared" si="2"/>
        <v>7.1398766704593609E-4</v>
      </c>
      <c r="P16" s="2">
        <f t="shared" si="3"/>
        <v>4.0602869656029252</v>
      </c>
    </row>
    <row r="17" spans="1:16">
      <c r="A17" s="2" t="s">
        <v>68</v>
      </c>
      <c r="B17" s="50">
        <f>'DataSet 2'!B42</f>
        <v>9100</v>
      </c>
      <c r="C17" s="50">
        <f>'DataSet 2'!C42</f>
        <v>10000</v>
      </c>
      <c r="D17" s="50">
        <f>'DataSet 2'!D42</f>
        <v>15000</v>
      </c>
      <c r="E17" s="50">
        <f>'DataSet 2'!E42</f>
        <v>30000</v>
      </c>
      <c r="F17" s="3">
        <f t="shared" si="4"/>
        <v>3.9590413923210934</v>
      </c>
      <c r="G17" s="4">
        <f t="shared" si="0"/>
        <v>4</v>
      </c>
      <c r="H17" s="3">
        <f t="shared" si="0"/>
        <v>4.1760912590556813</v>
      </c>
      <c r="I17" s="4">
        <f t="shared" si="0"/>
        <v>4.4771212547196626</v>
      </c>
      <c r="J17" s="32"/>
      <c r="K17" s="13">
        <f t="shared" si="5"/>
        <v>2</v>
      </c>
      <c r="L17" s="2">
        <f t="shared" si="6"/>
        <v>8.3880377149729243E-4</v>
      </c>
      <c r="M17" s="2">
        <f t="shared" si="7"/>
        <v>3.9795206961605469</v>
      </c>
      <c r="N17" s="13">
        <f t="shared" si="1"/>
        <v>2</v>
      </c>
      <c r="O17" s="2">
        <f t="shared" si="2"/>
        <v>4.5309529144728286E-2</v>
      </c>
      <c r="P17" s="2">
        <f t="shared" si="3"/>
        <v>4.326606256887672</v>
      </c>
    </row>
    <row r="18" spans="1:16">
      <c r="A18" s="2" t="s">
        <v>69</v>
      </c>
      <c r="B18" s="8"/>
      <c r="C18" s="8"/>
      <c r="D18" s="8"/>
      <c r="E18" s="8"/>
      <c r="F18" s="3" t="str">
        <f t="shared" si="4"/>
        <v/>
      </c>
      <c r="G18" s="4" t="str">
        <f t="shared" si="0"/>
        <v/>
      </c>
      <c r="H18" s="3" t="str">
        <f t="shared" si="0"/>
        <v/>
      </c>
      <c r="I18" s="4" t="str">
        <f t="shared" si="0"/>
        <v/>
      </c>
      <c r="J18" s="32"/>
      <c r="K18" s="13">
        <f t="shared" si="5"/>
        <v>0</v>
      </c>
      <c r="L18" s="2" t="str">
        <f t="shared" si="6"/>
        <v/>
      </c>
      <c r="M18" s="2" t="str">
        <f t="shared" si="7"/>
        <v/>
      </c>
      <c r="N18" s="13">
        <f t="shared" si="1"/>
        <v>0</v>
      </c>
      <c r="O18" s="2" t="str">
        <f t="shared" si="2"/>
        <v/>
      </c>
      <c r="P18" s="2" t="str">
        <f t="shared" si="3"/>
        <v/>
      </c>
    </row>
    <row r="19" spans="1:16">
      <c r="A19" s="2" t="s">
        <v>70</v>
      </c>
      <c r="B19" s="8"/>
      <c r="C19" s="8"/>
      <c r="D19" s="8"/>
      <c r="E19" s="8"/>
      <c r="F19" s="3" t="str">
        <f t="shared" si="4"/>
        <v/>
      </c>
      <c r="G19" s="4" t="str">
        <f t="shared" si="0"/>
        <v/>
      </c>
      <c r="H19" s="3" t="str">
        <f t="shared" si="0"/>
        <v/>
      </c>
      <c r="I19" s="4" t="str">
        <f t="shared" si="0"/>
        <v/>
      </c>
      <c r="J19" s="32"/>
      <c r="K19" s="13">
        <f t="shared" si="5"/>
        <v>0</v>
      </c>
      <c r="L19" s="2" t="str">
        <f t="shared" si="6"/>
        <v/>
      </c>
      <c r="M19" s="2" t="str">
        <f t="shared" si="7"/>
        <v/>
      </c>
      <c r="N19" s="13">
        <f t="shared" si="1"/>
        <v>0</v>
      </c>
      <c r="O19" s="2" t="str">
        <f t="shared" si="2"/>
        <v/>
      </c>
      <c r="P19" s="2" t="str">
        <f t="shared" si="3"/>
        <v/>
      </c>
    </row>
    <row r="20" spans="1:16">
      <c r="A20" s="2" t="s">
        <v>71</v>
      </c>
      <c r="B20"/>
      <c r="C20"/>
      <c r="D20"/>
      <c r="E20"/>
      <c r="F20" s="3" t="str">
        <f t="shared" si="4"/>
        <v/>
      </c>
      <c r="G20" s="4" t="str">
        <f t="shared" si="0"/>
        <v/>
      </c>
      <c r="H20" s="3" t="str">
        <f t="shared" si="0"/>
        <v/>
      </c>
      <c r="I20" s="4" t="str">
        <f t="shared" si="0"/>
        <v/>
      </c>
      <c r="J20" s="32"/>
      <c r="K20" s="13">
        <f t="shared" si="5"/>
        <v>0</v>
      </c>
      <c r="L20" s="2" t="str">
        <f t="shared" si="6"/>
        <v/>
      </c>
      <c r="M20" s="2" t="str">
        <f t="shared" si="7"/>
        <v/>
      </c>
      <c r="N20" s="13">
        <f t="shared" si="1"/>
        <v>0</v>
      </c>
      <c r="O20" s="2" t="str">
        <f t="shared" si="2"/>
        <v/>
      </c>
      <c r="P20" s="2" t="str">
        <f t="shared" si="3"/>
        <v/>
      </c>
    </row>
    <row r="21" spans="1:16">
      <c r="A21" s="2" t="s">
        <v>72</v>
      </c>
      <c r="B21"/>
      <c r="C21"/>
      <c r="D21"/>
      <c r="E21"/>
      <c r="F21" s="3" t="str">
        <f t="shared" si="4"/>
        <v/>
      </c>
      <c r="G21" s="4" t="str">
        <f t="shared" si="0"/>
        <v/>
      </c>
      <c r="H21" s="3" t="str">
        <f t="shared" si="0"/>
        <v/>
      </c>
      <c r="I21" s="4" t="str">
        <f t="shared" si="0"/>
        <v/>
      </c>
      <c r="J21" s="32"/>
      <c r="K21" s="13">
        <f t="shared" si="5"/>
        <v>0</v>
      </c>
      <c r="L21" s="2" t="str">
        <f t="shared" si="6"/>
        <v/>
      </c>
      <c r="M21" s="2" t="str">
        <f t="shared" si="7"/>
        <v/>
      </c>
      <c r="N21" s="13">
        <f t="shared" si="1"/>
        <v>0</v>
      </c>
      <c r="O21" s="2" t="str">
        <f t="shared" si="2"/>
        <v/>
      </c>
      <c r="P21" s="2" t="str">
        <f t="shared" si="3"/>
        <v/>
      </c>
    </row>
    <row r="22" spans="1:16">
      <c r="A22" s="2" t="s">
        <v>73</v>
      </c>
      <c r="B22"/>
      <c r="C22"/>
      <c r="D22"/>
      <c r="E22"/>
      <c r="F22" s="3" t="str">
        <f t="shared" si="4"/>
        <v/>
      </c>
      <c r="G22" s="4" t="str">
        <f t="shared" ref="G22:I26" si="8">IF(C22&gt;0,LOG10(C22),"")</f>
        <v/>
      </c>
      <c r="H22" s="3" t="str">
        <f t="shared" si="8"/>
        <v/>
      </c>
      <c r="I22" s="4" t="str">
        <f t="shared" si="8"/>
        <v/>
      </c>
      <c r="J22" s="32"/>
      <c r="K22" s="13">
        <f t="shared" si="5"/>
        <v>0</v>
      </c>
      <c r="L22" s="2" t="str">
        <f t="shared" si="6"/>
        <v/>
      </c>
      <c r="M22" s="2" t="str">
        <f t="shared" si="7"/>
        <v/>
      </c>
      <c r="N22" s="13">
        <f t="shared" si="1"/>
        <v>0</v>
      </c>
      <c r="O22" s="2" t="str">
        <f t="shared" si="2"/>
        <v/>
      </c>
      <c r="P22" s="2" t="str">
        <f t="shared" si="3"/>
        <v/>
      </c>
    </row>
    <row r="23" spans="1:16">
      <c r="A23" s="2" t="s">
        <v>74</v>
      </c>
      <c r="B23"/>
      <c r="C23"/>
      <c r="D23"/>
      <c r="E23"/>
      <c r="F23" s="3" t="str">
        <f t="shared" si="4"/>
        <v/>
      </c>
      <c r="G23" s="4" t="str">
        <f t="shared" si="8"/>
        <v/>
      </c>
      <c r="H23" s="3" t="str">
        <f t="shared" si="8"/>
        <v/>
      </c>
      <c r="I23" s="4" t="str">
        <f t="shared" si="8"/>
        <v/>
      </c>
      <c r="J23" s="32"/>
      <c r="K23" s="13">
        <f t="shared" si="5"/>
        <v>0</v>
      </c>
      <c r="L23" s="2" t="str">
        <f t="shared" si="6"/>
        <v/>
      </c>
      <c r="M23" s="2" t="str">
        <f t="shared" si="7"/>
        <v/>
      </c>
      <c r="N23" s="13">
        <f t="shared" si="1"/>
        <v>0</v>
      </c>
      <c r="O23" s="2" t="str">
        <f t="shared" si="2"/>
        <v/>
      </c>
      <c r="P23" s="2" t="str">
        <f t="shared" si="3"/>
        <v/>
      </c>
    </row>
    <row r="24" spans="1:16">
      <c r="A24" s="2" t="s">
        <v>75</v>
      </c>
      <c r="B24"/>
      <c r="C24"/>
      <c r="D24"/>
      <c r="E24"/>
      <c r="F24" s="3" t="str">
        <f t="shared" si="4"/>
        <v/>
      </c>
      <c r="G24" s="4" t="str">
        <f t="shared" si="8"/>
        <v/>
      </c>
      <c r="H24" s="3" t="str">
        <f t="shared" si="8"/>
        <v/>
      </c>
      <c r="I24" s="4" t="str">
        <f t="shared" si="8"/>
        <v/>
      </c>
      <c r="J24" s="32"/>
      <c r="K24" s="13">
        <f t="shared" si="5"/>
        <v>0</v>
      </c>
      <c r="L24" s="2" t="str">
        <f t="shared" si="6"/>
        <v/>
      </c>
      <c r="M24" s="2" t="str">
        <f t="shared" si="7"/>
        <v/>
      </c>
      <c r="N24" s="13">
        <f t="shared" si="1"/>
        <v>0</v>
      </c>
      <c r="O24" s="2" t="str">
        <f t="shared" si="2"/>
        <v/>
      </c>
      <c r="P24" s="2" t="str">
        <f t="shared" si="3"/>
        <v/>
      </c>
    </row>
    <row r="25" spans="1:16">
      <c r="A25" s="2" t="s">
        <v>76</v>
      </c>
      <c r="B25"/>
      <c r="C25"/>
      <c r="D25"/>
      <c r="E25"/>
      <c r="F25" s="3" t="str">
        <f t="shared" si="4"/>
        <v/>
      </c>
      <c r="G25" s="4" t="str">
        <f t="shared" si="8"/>
        <v/>
      </c>
      <c r="H25" s="3" t="str">
        <f t="shared" si="8"/>
        <v/>
      </c>
      <c r="I25" s="4" t="str">
        <f t="shared" si="8"/>
        <v/>
      </c>
      <c r="J25" s="32"/>
      <c r="K25" s="13">
        <f t="shared" si="5"/>
        <v>0</v>
      </c>
      <c r="L25" s="2" t="str">
        <f t="shared" si="6"/>
        <v/>
      </c>
      <c r="M25" s="2" t="str">
        <f t="shared" si="7"/>
        <v/>
      </c>
      <c r="N25" s="13">
        <f t="shared" si="1"/>
        <v>0</v>
      </c>
      <c r="O25" s="2" t="str">
        <f t="shared" si="2"/>
        <v/>
      </c>
      <c r="P25" s="2" t="str">
        <f t="shared" si="3"/>
        <v/>
      </c>
    </row>
    <row r="26" spans="1:16" ht="15.75" thickBot="1">
      <c r="A26" s="2" t="s">
        <v>77</v>
      </c>
      <c r="B26"/>
      <c r="C26"/>
      <c r="D26"/>
      <c r="E26"/>
      <c r="F26" s="5" t="str">
        <f t="shared" si="4"/>
        <v/>
      </c>
      <c r="G26" s="6" t="str">
        <f t="shared" si="8"/>
        <v/>
      </c>
      <c r="H26" s="5" t="str">
        <f t="shared" si="8"/>
        <v/>
      </c>
      <c r="I26" s="6" t="str">
        <f t="shared" si="8"/>
        <v/>
      </c>
      <c r="J26" s="32"/>
      <c r="K26" s="13">
        <f t="shared" si="5"/>
        <v>0</v>
      </c>
      <c r="L26" s="2" t="str">
        <f t="shared" si="6"/>
        <v/>
      </c>
      <c r="M26" s="2" t="str">
        <f t="shared" si="7"/>
        <v/>
      </c>
      <c r="N26" s="13">
        <f t="shared" si="1"/>
        <v>0</v>
      </c>
      <c r="O26" s="2" t="str">
        <f t="shared" si="2"/>
        <v/>
      </c>
      <c r="P26" s="2" t="str">
        <f t="shared" si="3"/>
        <v/>
      </c>
    </row>
    <row r="28" spans="1:16">
      <c r="A28" s="14" t="s">
        <v>91</v>
      </c>
    </row>
    <row r="29" spans="1:16">
      <c r="A29" s="14"/>
      <c r="H29" s="38" t="s">
        <v>96</v>
      </c>
      <c r="I29" s="36" t="s">
        <v>95</v>
      </c>
      <c r="J29" s="14"/>
      <c r="K29" s="14"/>
      <c r="L29" s="14"/>
    </row>
    <row r="30" spans="1:16">
      <c r="E30" s="2" t="str">
        <f>Low!E30</f>
        <v>Number of participants (K)</v>
      </c>
      <c r="H30" s="13">
        <f>COUNT(G6:G26)</f>
        <v>12</v>
      </c>
      <c r="I30" s="13">
        <f>COUNT(H6:H26)</f>
        <v>12</v>
      </c>
      <c r="J30" s="13"/>
      <c r="K30" s="13"/>
      <c r="L30" s="13"/>
    </row>
    <row r="31" spans="1:16">
      <c r="E31" s="2" t="str">
        <f>Low!E31</f>
        <v>Number of measurements (IK)</v>
      </c>
      <c r="H31" s="13">
        <f>COUNT(F6:G26)</f>
        <v>24</v>
      </c>
      <c r="I31" s="13">
        <f>COUNT(H6:I26)</f>
        <v>24</v>
      </c>
      <c r="J31" s="13"/>
      <c r="K31" s="13"/>
      <c r="L31" s="13"/>
    </row>
    <row r="32" spans="1:16">
      <c r="E32" s="2" t="str">
        <f>Low!E32</f>
        <v>Number of replicates (I)</v>
      </c>
      <c r="H32" s="13">
        <f>IF(K6*H30&lt;&gt;H31,"Calcul impossible",K6)</f>
        <v>2</v>
      </c>
      <c r="I32" s="13">
        <f>IF(N6*I30&lt;&gt;I31,"Calcul impossible",N6)</f>
        <v>2</v>
      </c>
      <c r="J32" s="13"/>
      <c r="K32" s="13"/>
      <c r="L32" s="13"/>
    </row>
    <row r="33" spans="5:19">
      <c r="E33" s="2" t="str">
        <f>Low!E33</f>
        <v>Residual SSr</v>
      </c>
      <c r="H33" s="28">
        <f>SUM(L6:L26)</f>
        <v>1.4440449974605319E-2</v>
      </c>
      <c r="I33" s="28">
        <f>SUM(O6:O26)</f>
        <v>0.24694674910190784</v>
      </c>
      <c r="J33" s="10"/>
      <c r="K33" s="10"/>
      <c r="L33" s="10"/>
    </row>
    <row r="34" spans="5:19">
      <c r="E34" s="2" t="str">
        <f>Low!E34</f>
        <v>Total SSt</v>
      </c>
      <c r="H34" s="28">
        <f>DEVSQ(F6:G26)</f>
        <v>7.3887644518796258E-2</v>
      </c>
      <c r="I34" s="28">
        <f>DEVSQ(H6:I26)</f>
        <v>0.70310095227967662</v>
      </c>
      <c r="J34" s="10"/>
      <c r="K34" s="10"/>
      <c r="L34" s="10"/>
    </row>
    <row r="35" spans="5:19">
      <c r="E35" s="2" t="str">
        <f>Low!E35</f>
        <v>Between-labs SSL</v>
      </c>
      <c r="H35" s="28">
        <f>H34-H33</f>
        <v>5.9447194544190937E-2</v>
      </c>
      <c r="I35" s="28">
        <f>I34-I33</f>
        <v>0.45615420317776878</v>
      </c>
      <c r="J35" s="10"/>
      <c r="K35" s="10"/>
      <c r="L35" s="10"/>
    </row>
    <row r="36" spans="5:19">
      <c r="E36" s="2" t="str">
        <f>Low!E36</f>
        <v>Intermediate value for s²L</v>
      </c>
      <c r="H36" s="28">
        <f>((H35/(H30-1))-H37)/H32</f>
        <v>2.1004597909455788E-3</v>
      </c>
      <c r="I36" s="28">
        <f>((I35/(I30-1))-I37)/I32</f>
        <v>1.0444834083379694E-2</v>
      </c>
      <c r="J36" s="10"/>
      <c r="K36" s="10"/>
      <c r="L36" s="10"/>
    </row>
    <row r="37" spans="5:19">
      <c r="E37" s="2" t="str">
        <f>Low!E37</f>
        <v>Repeatability (within) variance (s²r)</v>
      </c>
      <c r="H37" s="28">
        <f>H33/(H31-H30)</f>
        <v>1.2033708312171099E-3</v>
      </c>
      <c r="I37" s="28">
        <f>I33/(I31-I30)</f>
        <v>2.0578895758492321E-2</v>
      </c>
      <c r="J37" s="10"/>
      <c r="K37" s="10"/>
      <c r="L37" s="10"/>
    </row>
    <row r="38" spans="5:19">
      <c r="E38" s="2" t="str">
        <f>Low!E38</f>
        <v>Between-labs variance (s²L)</v>
      </c>
      <c r="H38" s="28">
        <f>IF(H36&lt;0,0,H36)</f>
        <v>2.1004597909455788E-3</v>
      </c>
      <c r="I38" s="28">
        <f>IF(I36&lt;0,0,I36)</f>
        <v>1.0444834083379694E-2</v>
      </c>
      <c r="J38" s="10"/>
      <c r="K38" s="10"/>
      <c r="L38" s="10"/>
    </row>
    <row r="39" spans="5:19">
      <c r="E39" s="2" t="str">
        <f>Low!E39</f>
        <v>Reproducibility variance (s²R)</v>
      </c>
      <c r="H39" s="28">
        <f>SUM(H37:H38)</f>
        <v>3.3038306221626888E-3</v>
      </c>
      <c r="I39" s="28">
        <f>SUM(I37:I38)</f>
        <v>3.1023729841872016E-2</v>
      </c>
      <c r="J39" s="10"/>
      <c r="K39" s="10"/>
      <c r="L39" s="10"/>
    </row>
    <row r="40" spans="5:19" s="1" customFormat="1" ht="15.75">
      <c r="E40" s="1" t="str">
        <f>Low!E40</f>
        <v>Precision</v>
      </c>
    </row>
    <row r="41" spans="5:19">
      <c r="E41" s="14" t="s">
        <v>94</v>
      </c>
      <c r="H41" s="29">
        <f>AVERAGE(F6:G26)</f>
        <v>3.9169440415091064</v>
      </c>
      <c r="I41" s="29">
        <f>AVERAGE(H6:I26)</f>
        <v>4.0938862205733644</v>
      </c>
      <c r="J41" s="31"/>
      <c r="K41" s="31"/>
      <c r="L41" s="31"/>
    </row>
    <row r="42" spans="5:19" ht="12" customHeight="1">
      <c r="E42" s="2" t="str">
        <f>Low!E42</f>
        <v>Repeatability standard deviation (sr)</v>
      </c>
      <c r="H42" s="29">
        <f t="shared" ref="H42:I44" si="9">SQRT(H37)</f>
        <v>3.4689635789629011E-2</v>
      </c>
      <c r="I42" s="29">
        <f t="shared" si="9"/>
        <v>0.14345346199549289</v>
      </c>
      <c r="J42" s="31"/>
      <c r="K42" s="31"/>
      <c r="L42" s="31"/>
    </row>
    <row r="43" spans="5:19">
      <c r="E43" s="2" t="str">
        <f>Low!E43</f>
        <v>Between-labs standard deviation (sL)</v>
      </c>
      <c r="H43" s="29">
        <f t="shared" si="9"/>
        <v>4.5830773405492284E-2</v>
      </c>
      <c r="I43" s="29">
        <f t="shared" si="9"/>
        <v>0.1021999710537126</v>
      </c>
      <c r="J43" s="31"/>
      <c r="K43" s="31"/>
      <c r="L43" s="31"/>
    </row>
    <row r="44" spans="5:19">
      <c r="E44" s="2" t="str">
        <f>Low!E44</f>
        <v>Reproducibility standard deviation (sR)</v>
      </c>
      <c r="H44" s="29">
        <f t="shared" si="9"/>
        <v>5.7478958081742304E-2</v>
      </c>
      <c r="I44" s="29">
        <f t="shared" si="9"/>
        <v>0.17613554394804024</v>
      </c>
      <c r="J44" s="31"/>
      <c r="K44" s="31"/>
      <c r="L44" s="31"/>
    </row>
    <row r="45" spans="5:19" s="1" customFormat="1" ht="15.75">
      <c r="E45" s="1" t="str">
        <f>Low!E45</f>
        <v>Trueness</v>
      </c>
      <c r="H45" s="30"/>
      <c r="I45" s="30"/>
      <c r="J45" s="21"/>
      <c r="K45" s="21"/>
      <c r="L45" s="21"/>
    </row>
    <row r="46" spans="5:19">
      <c r="E46" s="2" t="str">
        <f>Low!E46</f>
        <v>Bias</v>
      </c>
      <c r="H46" s="29">
        <f>H41-F2</f>
        <v>0</v>
      </c>
      <c r="I46" s="29">
        <f>I41-F2</f>
        <v>0.17694217906425802</v>
      </c>
      <c r="J46" s="31"/>
      <c r="K46" s="31"/>
      <c r="L46" s="31"/>
    </row>
    <row r="47" spans="5:19" s="1" customFormat="1" ht="15.75">
      <c r="E47" s="1" t="s">
        <v>78</v>
      </c>
      <c r="H47" s="30"/>
      <c r="I47" s="30"/>
    </row>
    <row r="48" spans="5:19">
      <c r="E48" s="2" t="str">
        <f>Low!E48</f>
        <v>Variances ratio (R)</v>
      </c>
      <c r="H48" s="29">
        <f>H38/H37</f>
        <v>1.7454800602247751</v>
      </c>
      <c r="I48" s="29">
        <f>I38/I37</f>
        <v>0.50755075519877735</v>
      </c>
      <c r="J48" s="31"/>
      <c r="K48" s="31"/>
      <c r="L48" s="31"/>
      <c r="S48" s="10"/>
    </row>
    <row r="49" spans="5:19">
      <c r="E49" s="2" t="str">
        <f>Low!E49</f>
        <v>Coefficient B²</v>
      </c>
      <c r="H49" s="29">
        <f>(H48+1)/(H32*H48+1)</f>
        <v>0.61133476730805381</v>
      </c>
      <c r="I49" s="29">
        <f>(I48+1)/(I32*I48+1)</f>
        <v>0.74812645785837162</v>
      </c>
      <c r="J49" s="31"/>
      <c r="K49" s="31"/>
      <c r="L49" s="31"/>
      <c r="S49" s="10"/>
    </row>
    <row r="50" spans="5:19">
      <c r="E50" s="2" t="str">
        <f>Low!E50</f>
        <v>Intermediate coefficient</v>
      </c>
      <c r="H50" s="29">
        <f>SQRT(1+1/(H31*H49))</f>
        <v>1.0335167506787883</v>
      </c>
      <c r="I50" s="29">
        <f>SQRT(1+1/(I31*I49))</f>
        <v>1.0274700404418715</v>
      </c>
      <c r="J50" s="31"/>
      <c r="K50" s="31"/>
      <c r="L50" s="31"/>
      <c r="S50" s="10"/>
    </row>
    <row r="51" spans="5:19" ht="15.75" thickBot="1">
      <c r="E51" s="2" t="str">
        <f>Low!E51</f>
        <v>Corrected number of dof</v>
      </c>
      <c r="H51" s="29">
        <f>(H48+1)^2/((H48+1/H32)^2/(H30-1)+(1-1/H32)/H31)</f>
        <v>15.729236301648394</v>
      </c>
      <c r="I51" s="29">
        <f>(I48+1)^2/((I48+1/I32)^2/(I30-1)+(1-1/I32)/I31)</f>
        <v>20.091051966126646</v>
      </c>
      <c r="J51" s="31"/>
      <c r="K51" s="31"/>
      <c r="L51" s="31"/>
      <c r="S51" s="10"/>
    </row>
    <row r="52" spans="5:19" ht="15.75" thickBot="1">
      <c r="E52" s="2" t="str">
        <f>Low!E52</f>
        <v>Tolerance interval probability (beta)</v>
      </c>
      <c r="I52" s="42">
        <f>Summary!D5</f>
        <v>0.8</v>
      </c>
      <c r="J52" s="40"/>
      <c r="K52" s="40"/>
      <c r="L52" s="40"/>
      <c r="S52" s="10"/>
    </row>
    <row r="53" spans="5:19">
      <c r="E53" s="2" t="str">
        <f>Low!E53</f>
        <v>Student t low</v>
      </c>
      <c r="H53" s="29"/>
      <c r="I53" s="29">
        <f>TINV(1-I52,ROUNDDOWN(I51,0))</f>
        <v>1.3253407070395045</v>
      </c>
      <c r="J53" s="31"/>
      <c r="K53" s="31"/>
      <c r="L53" s="31"/>
      <c r="S53" s="10"/>
    </row>
    <row r="54" spans="5:19">
      <c r="E54" s="2" t="str">
        <f>Low!E54</f>
        <v>Student high</v>
      </c>
      <c r="H54" s="29"/>
      <c r="I54" s="29">
        <f>TINV(1-I52,ROUNDUP(I51,0))</f>
        <v>1.3231878739122505</v>
      </c>
      <c r="J54" s="31"/>
      <c r="K54" s="31"/>
      <c r="L54" s="31"/>
      <c r="S54" s="10"/>
    </row>
    <row r="55" spans="5:19">
      <c r="E55" s="2" t="str">
        <f>Low!E55</f>
        <v>Interpolated Student t</v>
      </c>
      <c r="H55" s="29"/>
      <c r="I55" s="29">
        <f>I53-(I53-I54)*(I51-ROUNDDOWN(I51,0))</f>
        <v>1.3251446873505255</v>
      </c>
      <c r="J55" s="31"/>
      <c r="K55" s="31"/>
      <c r="L55" s="31"/>
      <c r="S55" s="10"/>
    </row>
    <row r="56" spans="5:19">
      <c r="E56" s="2" t="str">
        <f>Low!E56</f>
        <v>Coverage factor</v>
      </c>
      <c r="H56" s="29"/>
      <c r="I56" s="29">
        <f>I55*I50</f>
        <v>1.3615464655033755</v>
      </c>
      <c r="J56" s="31"/>
      <c r="K56" s="31"/>
      <c r="L56" s="31"/>
      <c r="S56" s="10"/>
    </row>
    <row r="57" spans="5:19">
      <c r="E57" s="2" t="str">
        <f>Low!E57</f>
        <v>Tolerance interval standard deviation</v>
      </c>
      <c r="H57" s="29"/>
      <c r="I57" s="29">
        <f>I44*I50</f>
        <v>0.18097399446354392</v>
      </c>
      <c r="J57" s="31"/>
      <c r="K57" s="31"/>
      <c r="L57" s="31"/>
      <c r="S57" s="10"/>
    </row>
    <row r="58" spans="5:19" s="1" customFormat="1" ht="15.75">
      <c r="E58" s="1" t="str">
        <f>Low!E58</f>
        <v>beta Expectation Tolerance Interval Limits</v>
      </c>
      <c r="H58" s="30"/>
      <c r="I58" s="30"/>
    </row>
    <row r="59" spans="5:19">
      <c r="E59" s="2" t="str">
        <f>Low!E59</f>
        <v>Lower TI limit</v>
      </c>
      <c r="H59" s="29"/>
      <c r="I59" s="29">
        <f>I41-I56*I44</f>
        <v>3.8540694932613957</v>
      </c>
      <c r="J59" s="31"/>
      <c r="K59" s="31"/>
      <c r="L59" s="31"/>
      <c r="S59" s="10"/>
    </row>
    <row r="60" spans="5:19">
      <c r="E60" s="2" t="str">
        <f>Low!E60</f>
        <v>Upper TI limit</v>
      </c>
      <c r="H60" s="29"/>
      <c r="I60" s="29">
        <f>I41+I56*I44</f>
        <v>4.3337029478853326</v>
      </c>
      <c r="J60" s="31"/>
      <c r="K60" s="31"/>
      <c r="L60" s="31"/>
      <c r="S60" s="10"/>
    </row>
  </sheetData>
  <sheetProtection password="8F34" sheet="1" objects="1" scenarios="1"/>
  <phoneticPr fontId="2" type="noConversion"/>
  <printOptions horizontalCentered="1" verticalCentered="1" gridLines="1"/>
  <pageMargins left="0.78740157499999996" right="0.78740157499999996" top="0.56999999999999995" bottom="0.56999999999999995" header="0.33" footer="0.34"/>
  <pageSetup paperSize="9" scale="105" orientation="landscape" horizontalDpi="300" verticalDpi="300" r:id="rId1"/>
  <headerFooter alignWithMargins="0">
    <oddHeader>&amp;CISO 16140-2</oddHeader>
    <oddFooter>&amp;C&amp;A&amp;R&amp;P</oddFooter>
  </headerFooter>
  <rowBreaks count="1" manualBreakCount="1">
    <brk id="27" max="16383" man="1"/>
  </rowBreaks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3"/>
  <dimension ref="A1:E42"/>
  <sheetViews>
    <sheetView workbookViewId="0">
      <selection activeCell="G22" sqref="G22"/>
    </sheetView>
  </sheetViews>
  <sheetFormatPr baseColWidth="10" defaultColWidth="11.42578125" defaultRowHeight="15"/>
  <sheetData>
    <row r="1" spans="1:5">
      <c r="A1" t="s">
        <v>90</v>
      </c>
    </row>
    <row r="2" spans="1:5">
      <c r="B2" t="s">
        <v>106</v>
      </c>
      <c r="D2" t="s">
        <v>107</v>
      </c>
    </row>
    <row r="3" spans="1:5">
      <c r="A3" t="s">
        <v>55</v>
      </c>
      <c r="B3" t="s">
        <v>25</v>
      </c>
      <c r="C3" t="s">
        <v>26</v>
      </c>
      <c r="D3" t="s">
        <v>25</v>
      </c>
      <c r="E3" t="s">
        <v>26</v>
      </c>
    </row>
    <row r="4" spans="1:5">
      <c r="B4" t="s">
        <v>15</v>
      </c>
    </row>
    <row r="5" spans="1:5">
      <c r="A5" t="s">
        <v>57</v>
      </c>
      <c r="B5">
        <v>300</v>
      </c>
      <c r="C5">
        <v>260</v>
      </c>
      <c r="D5">
        <v>120</v>
      </c>
      <c r="E5">
        <v>220</v>
      </c>
    </row>
    <row r="6" spans="1:5">
      <c r="A6" t="s">
        <v>58</v>
      </c>
      <c r="B6">
        <v>250</v>
      </c>
      <c r="C6">
        <v>210</v>
      </c>
      <c r="D6">
        <v>260</v>
      </c>
      <c r="E6">
        <v>100</v>
      </c>
    </row>
    <row r="7" spans="1:5">
      <c r="A7" t="s">
        <v>59</v>
      </c>
      <c r="B7">
        <v>180</v>
      </c>
      <c r="C7">
        <v>160</v>
      </c>
      <c r="D7">
        <v>110</v>
      </c>
      <c r="E7">
        <v>150</v>
      </c>
    </row>
    <row r="8" spans="1:5">
      <c r="A8" t="s">
        <v>60</v>
      </c>
      <c r="B8">
        <v>150</v>
      </c>
      <c r="C8">
        <v>140</v>
      </c>
      <c r="D8">
        <v>220</v>
      </c>
      <c r="E8">
        <v>210</v>
      </c>
    </row>
    <row r="9" spans="1:5">
      <c r="A9" t="s">
        <v>61</v>
      </c>
      <c r="B9">
        <v>190</v>
      </c>
      <c r="C9">
        <v>164</v>
      </c>
      <c r="D9">
        <v>150</v>
      </c>
      <c r="E9">
        <v>130</v>
      </c>
    </row>
    <row r="10" spans="1:5">
      <c r="A10" t="s">
        <v>62</v>
      </c>
      <c r="B10">
        <v>140</v>
      </c>
      <c r="C10">
        <v>190</v>
      </c>
      <c r="D10">
        <v>160</v>
      </c>
      <c r="E10">
        <v>140</v>
      </c>
    </row>
    <row r="11" spans="1:5">
      <c r="A11" t="s">
        <v>63</v>
      </c>
      <c r="B11">
        <v>180</v>
      </c>
      <c r="C11">
        <v>240</v>
      </c>
      <c r="D11">
        <v>160</v>
      </c>
      <c r="E11">
        <v>160</v>
      </c>
    </row>
    <row r="12" spans="1:5">
      <c r="A12" t="s">
        <v>64</v>
      </c>
      <c r="B12">
        <v>130</v>
      </c>
      <c r="C12">
        <v>150</v>
      </c>
      <c r="D12">
        <v>140</v>
      </c>
      <c r="E12">
        <v>220</v>
      </c>
    </row>
    <row r="19" spans="1:5">
      <c r="B19" t="s">
        <v>16</v>
      </c>
    </row>
    <row r="20" spans="1:5">
      <c r="A20" t="s">
        <v>57</v>
      </c>
      <c r="B20">
        <v>1800</v>
      </c>
      <c r="C20">
        <v>1900</v>
      </c>
      <c r="D20">
        <v>2000</v>
      </c>
      <c r="E20">
        <v>2900</v>
      </c>
    </row>
    <row r="21" spans="1:5">
      <c r="A21" t="s">
        <v>58</v>
      </c>
      <c r="B21">
        <v>1200</v>
      </c>
      <c r="C21">
        <v>1300</v>
      </c>
      <c r="D21">
        <v>2100</v>
      </c>
      <c r="E21">
        <v>1300</v>
      </c>
    </row>
    <row r="22" spans="1:5">
      <c r="A22" t="s">
        <v>59</v>
      </c>
      <c r="B22">
        <v>1700</v>
      </c>
      <c r="C22">
        <v>1500</v>
      </c>
      <c r="D22">
        <v>2100</v>
      </c>
      <c r="E22">
        <v>1200</v>
      </c>
    </row>
    <row r="23" spans="1:5">
      <c r="A23" t="s">
        <v>60</v>
      </c>
      <c r="B23">
        <v>1400</v>
      </c>
      <c r="C23">
        <v>1300</v>
      </c>
      <c r="D23">
        <v>1500</v>
      </c>
      <c r="E23">
        <v>2400</v>
      </c>
    </row>
    <row r="24" spans="1:5">
      <c r="A24" t="s">
        <v>61</v>
      </c>
      <c r="B24">
        <v>1700</v>
      </c>
      <c r="C24">
        <v>1800</v>
      </c>
      <c r="D24">
        <v>1300</v>
      </c>
      <c r="E24">
        <v>1600</v>
      </c>
    </row>
    <row r="25" spans="1:5">
      <c r="A25" t="s">
        <v>62</v>
      </c>
      <c r="B25">
        <v>1900</v>
      </c>
      <c r="C25">
        <v>1700</v>
      </c>
      <c r="D25">
        <v>2100</v>
      </c>
      <c r="E25">
        <v>1800</v>
      </c>
    </row>
    <row r="26" spans="1:5">
      <c r="A26" t="s">
        <v>63</v>
      </c>
      <c r="B26">
        <v>2300</v>
      </c>
      <c r="C26">
        <v>2600</v>
      </c>
      <c r="D26">
        <v>2100</v>
      </c>
      <c r="E26">
        <v>2000</v>
      </c>
    </row>
    <row r="27" spans="1:5">
      <c r="A27" t="s">
        <v>64</v>
      </c>
      <c r="B27">
        <v>1200</v>
      </c>
      <c r="C27">
        <v>1300</v>
      </c>
      <c r="D27">
        <v>2200</v>
      </c>
      <c r="E27">
        <v>1400</v>
      </c>
    </row>
    <row r="34" spans="1:5">
      <c r="B34" t="s">
        <v>17</v>
      </c>
    </row>
    <row r="35" spans="1:5">
      <c r="A35" t="s">
        <v>57</v>
      </c>
      <c r="B35">
        <v>21000</v>
      </c>
      <c r="C35">
        <v>15000</v>
      </c>
      <c r="D35">
        <v>17000</v>
      </c>
      <c r="E35">
        <v>27000</v>
      </c>
    </row>
    <row r="36" spans="1:5">
      <c r="A36" t="s">
        <v>58</v>
      </c>
      <c r="B36">
        <v>24000</v>
      </c>
      <c r="C36">
        <v>16000</v>
      </c>
      <c r="D36">
        <v>19000</v>
      </c>
      <c r="E36">
        <v>23000</v>
      </c>
    </row>
    <row r="37" spans="1:5">
      <c r="A37" t="s">
        <v>59</v>
      </c>
      <c r="B37">
        <v>15000</v>
      </c>
      <c r="C37">
        <v>14000</v>
      </c>
      <c r="D37">
        <v>21000</v>
      </c>
      <c r="E37">
        <v>11000</v>
      </c>
    </row>
    <row r="38" spans="1:5">
      <c r="A38" t="s">
        <v>60</v>
      </c>
      <c r="B38">
        <v>13000</v>
      </c>
      <c r="C38">
        <v>13000</v>
      </c>
      <c r="D38">
        <v>14000</v>
      </c>
      <c r="E38">
        <v>14000</v>
      </c>
    </row>
    <row r="39" spans="1:5">
      <c r="A39" t="s">
        <v>61</v>
      </c>
      <c r="B39">
        <v>15000</v>
      </c>
      <c r="C39">
        <v>22000</v>
      </c>
      <c r="D39">
        <v>14000</v>
      </c>
      <c r="E39">
        <v>17000</v>
      </c>
    </row>
    <row r="40" spans="1:5">
      <c r="A40" t="s">
        <v>62</v>
      </c>
      <c r="B40">
        <v>23000</v>
      </c>
      <c r="C40">
        <v>20000</v>
      </c>
      <c r="D40">
        <v>21000</v>
      </c>
      <c r="E40">
        <v>19000</v>
      </c>
    </row>
    <row r="41" spans="1:5">
      <c r="A41" t="s">
        <v>63</v>
      </c>
      <c r="B41">
        <v>12000</v>
      </c>
      <c r="C41">
        <v>15000</v>
      </c>
      <c r="D41">
        <v>13000</v>
      </c>
      <c r="E41">
        <v>12000</v>
      </c>
    </row>
    <row r="42" spans="1:5">
      <c r="A42" t="s">
        <v>64</v>
      </c>
      <c r="B42">
        <v>13000</v>
      </c>
      <c r="C42">
        <v>12000</v>
      </c>
      <c r="D42">
        <v>18000</v>
      </c>
      <c r="E42">
        <v>20000</v>
      </c>
    </row>
  </sheetData>
  <sheetProtection password="8F34" sheet="1" objects="1" scenarios="1"/>
  <sortState ref="A38:F65">
    <sortCondition ref="A38:A65"/>
  </sortState>
  <printOptions horizontalCentered="1" verticalCentered="1" gridLines="1"/>
  <pageMargins left="0.7" right="0.7" top="0.75" bottom="0.75" header="0.3" footer="0.3"/>
  <pageSetup paperSize="9" scale="130" orientation="landscape" verticalDpi="0" r:id="rId1"/>
  <headerFooter>
    <oddHeader>&amp;CISO 16140-2</oddHeader>
    <oddFooter>&amp;C&amp;A&amp;R&amp;P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2"/>
  <dimension ref="A1:E56"/>
  <sheetViews>
    <sheetView topLeftCell="A13" workbookViewId="0">
      <selection activeCell="U17" sqref="U17"/>
    </sheetView>
  </sheetViews>
  <sheetFormatPr baseColWidth="10" defaultColWidth="11.42578125" defaultRowHeight="15"/>
  <cols>
    <col min="2" max="5" width="14.5703125" customWidth="1"/>
  </cols>
  <sheetData>
    <row r="1" spans="1:5">
      <c r="A1" t="s">
        <v>54</v>
      </c>
    </row>
    <row r="2" spans="1:5">
      <c r="B2" t="s">
        <v>106</v>
      </c>
      <c r="D2" t="s">
        <v>107</v>
      </c>
    </row>
    <row r="3" spans="1:5">
      <c r="A3" t="s">
        <v>55</v>
      </c>
      <c r="B3" t="s">
        <v>25</v>
      </c>
      <c r="C3" t="s">
        <v>26</v>
      </c>
      <c r="D3" t="s">
        <v>25</v>
      </c>
      <c r="E3" t="s">
        <v>26</v>
      </c>
    </row>
    <row r="4" spans="1:5">
      <c r="B4" t="s">
        <v>21</v>
      </c>
    </row>
    <row r="5" spans="1:5">
      <c r="A5" t="s">
        <v>1</v>
      </c>
      <c r="B5">
        <v>100</v>
      </c>
      <c r="C5">
        <v>90</v>
      </c>
      <c r="D5">
        <v>100</v>
      </c>
      <c r="E5">
        <v>71</v>
      </c>
    </row>
    <row r="6" spans="1:5">
      <c r="A6" t="s">
        <v>2</v>
      </c>
      <c r="B6">
        <v>110</v>
      </c>
      <c r="C6">
        <v>100</v>
      </c>
      <c r="D6">
        <v>100</v>
      </c>
      <c r="E6">
        <v>130</v>
      </c>
    </row>
    <row r="7" spans="1:5">
      <c r="A7" t="s">
        <v>3</v>
      </c>
      <c r="B7">
        <v>85</v>
      </c>
      <c r="C7">
        <v>100</v>
      </c>
      <c r="D7">
        <v>73</v>
      </c>
      <c r="E7">
        <v>130</v>
      </c>
    </row>
    <row r="8" spans="1:5">
      <c r="A8" t="s">
        <v>4</v>
      </c>
      <c r="B8">
        <v>95</v>
      </c>
      <c r="C8">
        <v>80</v>
      </c>
      <c r="D8">
        <v>44</v>
      </c>
      <c r="E8">
        <v>100</v>
      </c>
    </row>
    <row r="9" spans="1:5">
      <c r="A9" t="s">
        <v>5</v>
      </c>
      <c r="B9">
        <v>110</v>
      </c>
      <c r="C9">
        <v>130</v>
      </c>
      <c r="D9">
        <v>59</v>
      </c>
      <c r="E9">
        <v>69</v>
      </c>
    </row>
    <row r="10" spans="1:5">
      <c r="A10" t="s">
        <v>6</v>
      </c>
      <c r="B10">
        <v>75</v>
      </c>
      <c r="C10">
        <v>90</v>
      </c>
      <c r="D10">
        <v>100</v>
      </c>
      <c r="E10">
        <v>71</v>
      </c>
    </row>
    <row r="11" spans="1:5">
      <c r="A11" t="s">
        <v>7</v>
      </c>
      <c r="B11">
        <v>95</v>
      </c>
      <c r="C11">
        <v>130</v>
      </c>
      <c r="D11">
        <v>110</v>
      </c>
      <c r="E11">
        <v>110</v>
      </c>
    </row>
    <row r="12" spans="1:5">
      <c r="A12" t="s">
        <v>8</v>
      </c>
      <c r="B12">
        <v>100</v>
      </c>
      <c r="C12">
        <v>60</v>
      </c>
      <c r="D12">
        <v>140</v>
      </c>
      <c r="E12">
        <v>140</v>
      </c>
    </row>
    <row r="13" spans="1:5">
      <c r="A13" t="s">
        <v>9</v>
      </c>
      <c r="B13">
        <v>120</v>
      </c>
      <c r="C13">
        <v>90</v>
      </c>
      <c r="D13">
        <v>120</v>
      </c>
      <c r="E13">
        <v>71</v>
      </c>
    </row>
    <row r="14" spans="1:5">
      <c r="A14" t="s">
        <v>10</v>
      </c>
      <c r="B14">
        <v>65</v>
      </c>
      <c r="C14">
        <v>70</v>
      </c>
      <c r="D14">
        <v>10</v>
      </c>
      <c r="E14">
        <v>73</v>
      </c>
    </row>
    <row r="15" spans="1:5">
      <c r="A15" t="s">
        <v>11</v>
      </c>
      <c r="B15">
        <v>95</v>
      </c>
      <c r="C15">
        <v>70</v>
      </c>
      <c r="D15">
        <v>86</v>
      </c>
      <c r="E15">
        <v>59</v>
      </c>
    </row>
    <row r="16" spans="1:5">
      <c r="A16" t="s">
        <v>12</v>
      </c>
      <c r="B16">
        <v>110</v>
      </c>
      <c r="C16">
        <v>85</v>
      </c>
      <c r="D16">
        <v>45</v>
      </c>
      <c r="E16">
        <v>130</v>
      </c>
    </row>
    <row r="17" spans="1:5">
      <c r="B17" t="s">
        <v>22</v>
      </c>
    </row>
    <row r="18" spans="1:5">
      <c r="A18" t="s">
        <v>1</v>
      </c>
      <c r="B18">
        <v>800</v>
      </c>
      <c r="C18">
        <v>920</v>
      </c>
      <c r="D18">
        <v>930</v>
      </c>
      <c r="E18">
        <v>1700</v>
      </c>
    </row>
    <row r="19" spans="1:5">
      <c r="A19" t="s">
        <v>2</v>
      </c>
      <c r="B19">
        <v>850</v>
      </c>
      <c r="C19">
        <v>950</v>
      </c>
      <c r="D19">
        <v>1100</v>
      </c>
      <c r="E19">
        <v>1100</v>
      </c>
    </row>
    <row r="20" spans="1:5">
      <c r="A20" t="s">
        <v>3</v>
      </c>
      <c r="B20">
        <v>510</v>
      </c>
      <c r="C20">
        <v>680</v>
      </c>
      <c r="D20">
        <v>730</v>
      </c>
      <c r="E20">
        <v>530</v>
      </c>
    </row>
    <row r="21" spans="1:5">
      <c r="A21" t="s">
        <v>4</v>
      </c>
      <c r="B21">
        <v>810</v>
      </c>
      <c r="C21">
        <v>810</v>
      </c>
      <c r="D21">
        <v>1000</v>
      </c>
      <c r="E21">
        <v>530</v>
      </c>
    </row>
    <row r="22" spans="1:5">
      <c r="A22" t="s">
        <v>5</v>
      </c>
      <c r="B22">
        <v>860</v>
      </c>
      <c r="C22">
        <v>860</v>
      </c>
      <c r="D22">
        <v>830</v>
      </c>
      <c r="E22">
        <v>730</v>
      </c>
    </row>
    <row r="23" spans="1:5">
      <c r="A23" t="s">
        <v>6</v>
      </c>
      <c r="B23">
        <v>680</v>
      </c>
      <c r="C23">
        <v>800</v>
      </c>
      <c r="D23">
        <v>630</v>
      </c>
      <c r="E23">
        <v>730</v>
      </c>
    </row>
    <row r="24" spans="1:5">
      <c r="A24" t="s">
        <v>7</v>
      </c>
      <c r="B24">
        <v>630</v>
      </c>
      <c r="C24">
        <v>790</v>
      </c>
      <c r="D24">
        <v>1300</v>
      </c>
      <c r="E24">
        <v>580</v>
      </c>
    </row>
    <row r="25" spans="1:5">
      <c r="A25" t="s">
        <v>8</v>
      </c>
      <c r="B25">
        <v>590</v>
      </c>
      <c r="C25">
        <v>660</v>
      </c>
      <c r="D25">
        <v>920</v>
      </c>
      <c r="E25">
        <v>1000</v>
      </c>
    </row>
    <row r="26" spans="1:5">
      <c r="A26" t="s">
        <v>9</v>
      </c>
      <c r="B26">
        <v>730</v>
      </c>
      <c r="C26">
        <v>900</v>
      </c>
      <c r="D26">
        <v>1100</v>
      </c>
      <c r="E26">
        <v>1100</v>
      </c>
    </row>
    <row r="27" spans="1:5">
      <c r="A27" t="s">
        <v>10</v>
      </c>
      <c r="B27">
        <v>1100</v>
      </c>
      <c r="C27">
        <v>790</v>
      </c>
      <c r="D27">
        <v>730</v>
      </c>
      <c r="E27">
        <v>830</v>
      </c>
    </row>
    <row r="28" spans="1:5">
      <c r="A28" t="s">
        <v>11</v>
      </c>
      <c r="B28">
        <v>800</v>
      </c>
      <c r="C28">
        <v>820</v>
      </c>
      <c r="D28">
        <v>830</v>
      </c>
      <c r="E28">
        <v>1200</v>
      </c>
    </row>
    <row r="29" spans="1:5">
      <c r="A29" t="s">
        <v>12</v>
      </c>
      <c r="B29">
        <v>840</v>
      </c>
      <c r="C29">
        <v>930</v>
      </c>
      <c r="D29">
        <v>900</v>
      </c>
      <c r="E29">
        <v>1200</v>
      </c>
    </row>
    <row r="30" spans="1:5">
      <c r="B30" t="s">
        <v>23</v>
      </c>
    </row>
    <row r="31" spans="1:5">
      <c r="A31" t="s">
        <v>1</v>
      </c>
      <c r="B31">
        <v>8900</v>
      </c>
      <c r="C31">
        <v>9000</v>
      </c>
      <c r="D31">
        <v>12000</v>
      </c>
      <c r="E31">
        <v>5200</v>
      </c>
    </row>
    <row r="32" spans="1:5">
      <c r="A32" t="s">
        <v>2</v>
      </c>
      <c r="B32">
        <v>10000</v>
      </c>
      <c r="C32">
        <v>8300</v>
      </c>
      <c r="D32">
        <v>21000</v>
      </c>
      <c r="E32">
        <v>11000</v>
      </c>
    </row>
    <row r="33" spans="1:5">
      <c r="A33" t="s">
        <v>3</v>
      </c>
      <c r="B33">
        <v>7000</v>
      </c>
      <c r="C33">
        <v>7100</v>
      </c>
      <c r="D33">
        <v>9100</v>
      </c>
      <c r="E33">
        <v>12000</v>
      </c>
    </row>
    <row r="34" spans="1:5">
      <c r="A34" t="s">
        <v>4</v>
      </c>
      <c r="B34">
        <v>7800</v>
      </c>
      <c r="C34">
        <v>8900</v>
      </c>
      <c r="D34">
        <v>12000</v>
      </c>
      <c r="E34">
        <v>11000</v>
      </c>
    </row>
    <row r="35" spans="1:5">
      <c r="A35" t="s">
        <v>5</v>
      </c>
      <c r="B35">
        <v>8500</v>
      </c>
      <c r="C35">
        <v>9700</v>
      </c>
      <c r="D35">
        <v>11000</v>
      </c>
      <c r="E35">
        <v>7800</v>
      </c>
    </row>
    <row r="36" spans="1:5">
      <c r="A36" t="s">
        <v>6</v>
      </c>
      <c r="B36">
        <v>8700</v>
      </c>
      <c r="C36">
        <v>8500</v>
      </c>
      <c r="D36">
        <v>11000</v>
      </c>
      <c r="E36">
        <v>12000</v>
      </c>
    </row>
    <row r="37" spans="1:5">
      <c r="A37" t="s">
        <v>7</v>
      </c>
      <c r="B37">
        <v>7000</v>
      </c>
      <c r="C37">
        <v>5900</v>
      </c>
      <c r="D37">
        <v>9100</v>
      </c>
      <c r="E37">
        <v>21000</v>
      </c>
    </row>
    <row r="38" spans="1:5">
      <c r="A38" t="s">
        <v>8</v>
      </c>
      <c r="B38">
        <v>7800</v>
      </c>
      <c r="C38">
        <v>9000</v>
      </c>
      <c r="D38">
        <v>21000</v>
      </c>
      <c r="E38">
        <v>25000</v>
      </c>
    </row>
    <row r="39" spans="1:5">
      <c r="A39" t="s">
        <v>9</v>
      </c>
      <c r="B39">
        <v>8600</v>
      </c>
      <c r="C39">
        <v>8800</v>
      </c>
      <c r="D39">
        <v>12000</v>
      </c>
      <c r="E39">
        <v>15000</v>
      </c>
    </row>
    <row r="40" spans="1:5">
      <c r="A40" t="s">
        <v>10</v>
      </c>
      <c r="B40">
        <v>7000</v>
      </c>
      <c r="C40">
        <v>7400</v>
      </c>
      <c r="D40">
        <v>9100</v>
      </c>
      <c r="E40">
        <v>7800</v>
      </c>
    </row>
    <row r="41" spans="1:5">
      <c r="A41" t="s">
        <v>11</v>
      </c>
      <c r="B41">
        <v>7800</v>
      </c>
      <c r="C41">
        <v>9000</v>
      </c>
      <c r="D41">
        <v>12000</v>
      </c>
      <c r="E41">
        <v>11000</v>
      </c>
    </row>
    <row r="42" spans="1:5">
      <c r="A42" t="s">
        <v>12</v>
      </c>
      <c r="B42">
        <v>9100</v>
      </c>
      <c r="C42">
        <v>10000</v>
      </c>
      <c r="D42">
        <v>15000</v>
      </c>
      <c r="E42">
        <v>30000</v>
      </c>
    </row>
    <row r="44" spans="1:5">
      <c r="B44" t="s">
        <v>56</v>
      </c>
    </row>
    <row r="45" spans="1:5">
      <c r="A45" t="s">
        <v>1</v>
      </c>
      <c r="B45" t="s">
        <v>13</v>
      </c>
      <c r="C45" t="s">
        <v>13</v>
      </c>
      <c r="D45" t="s">
        <v>13</v>
      </c>
      <c r="E45" t="s">
        <v>13</v>
      </c>
    </row>
    <row r="46" spans="1:5">
      <c r="A46" t="s">
        <v>2</v>
      </c>
      <c r="B46" t="s">
        <v>13</v>
      </c>
      <c r="C46" t="s">
        <v>13</v>
      </c>
      <c r="D46" t="s">
        <v>13</v>
      </c>
      <c r="E46" t="s">
        <v>13</v>
      </c>
    </row>
    <row r="47" spans="1:5">
      <c r="A47" t="s">
        <v>3</v>
      </c>
      <c r="B47" t="s">
        <v>13</v>
      </c>
      <c r="C47">
        <v>5</v>
      </c>
      <c r="D47" t="s">
        <v>13</v>
      </c>
      <c r="E47" t="s">
        <v>13</v>
      </c>
    </row>
    <row r="48" spans="1:5">
      <c r="A48" t="s">
        <v>4</v>
      </c>
      <c r="B48" t="s">
        <v>13</v>
      </c>
      <c r="C48" t="s">
        <v>13</v>
      </c>
      <c r="D48" t="s">
        <v>13</v>
      </c>
      <c r="E48" t="s">
        <v>13</v>
      </c>
    </row>
    <row r="49" spans="1:5">
      <c r="A49" t="s">
        <v>5</v>
      </c>
      <c r="B49" t="s">
        <v>13</v>
      </c>
      <c r="C49" t="s">
        <v>13</v>
      </c>
      <c r="D49" t="s">
        <v>13</v>
      </c>
      <c r="E49" t="s">
        <v>13</v>
      </c>
    </row>
    <row r="50" spans="1:5">
      <c r="A50" t="s">
        <v>6</v>
      </c>
      <c r="B50" t="s">
        <v>13</v>
      </c>
      <c r="C50" t="s">
        <v>13</v>
      </c>
      <c r="D50" t="s">
        <v>13</v>
      </c>
      <c r="E50" t="s">
        <v>13</v>
      </c>
    </row>
    <row r="51" spans="1:5">
      <c r="A51" t="s">
        <v>7</v>
      </c>
      <c r="B51" t="s">
        <v>13</v>
      </c>
      <c r="C51" t="s">
        <v>13</v>
      </c>
      <c r="D51" t="s">
        <v>13</v>
      </c>
      <c r="E51" t="s">
        <v>13</v>
      </c>
    </row>
    <row r="52" spans="1:5">
      <c r="A52" t="s">
        <v>8</v>
      </c>
      <c r="B52" t="s">
        <v>13</v>
      </c>
      <c r="C52" t="s">
        <v>13</v>
      </c>
      <c r="D52" t="s">
        <v>13</v>
      </c>
      <c r="E52" t="s">
        <v>13</v>
      </c>
    </row>
    <row r="53" spans="1:5">
      <c r="A53" t="s">
        <v>9</v>
      </c>
      <c r="B53">
        <v>5</v>
      </c>
      <c r="C53" t="s">
        <v>13</v>
      </c>
      <c r="D53" t="s">
        <v>13</v>
      </c>
      <c r="E53" t="s">
        <v>13</v>
      </c>
    </row>
    <row r="54" spans="1:5">
      <c r="A54" t="s">
        <v>10</v>
      </c>
      <c r="B54" t="s">
        <v>13</v>
      </c>
      <c r="C54" t="s">
        <v>13</v>
      </c>
      <c r="D54" t="s">
        <v>13</v>
      </c>
      <c r="E54" t="s">
        <v>13</v>
      </c>
    </row>
    <row r="55" spans="1:5">
      <c r="A55" t="s">
        <v>11</v>
      </c>
      <c r="B55" t="s">
        <v>14</v>
      </c>
      <c r="C55" t="s">
        <v>13</v>
      </c>
      <c r="D55" t="s">
        <v>13</v>
      </c>
      <c r="E55" t="s">
        <v>13</v>
      </c>
    </row>
    <row r="56" spans="1:5">
      <c r="A56" t="s">
        <v>12</v>
      </c>
      <c r="B56">
        <v>5</v>
      </c>
      <c r="C56">
        <v>5</v>
      </c>
      <c r="D56" t="s">
        <v>13</v>
      </c>
      <c r="E56" t="s">
        <v>13</v>
      </c>
    </row>
  </sheetData>
  <sheetProtection password="8F34" sheet="1" objects="1" scenarios="1"/>
  <phoneticPr fontId="0" type="noConversion"/>
  <printOptions horizontalCentered="1" verticalCentered="1" gridLines="1"/>
  <pageMargins left="0.78740157499999996" right="0.78740157499999996" top="0.984251969" bottom="0.984251969" header="0.4921259845" footer="0.4921259845"/>
  <pageSetup paperSize="9" scale="130" orientation="landscape" verticalDpi="0" r:id="rId1"/>
  <headerFooter alignWithMargins="0">
    <oddHeader>&amp;CISO 16140-2</oddHeader>
    <oddFooter>&amp;C&amp;A&amp;R&amp;P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Graphiques</vt:lpstr>
      </vt:variant>
      <vt:variant>
        <vt:i4>1</vt:i4>
      </vt:variant>
    </vt:vector>
  </HeadingPairs>
  <TitlesOfParts>
    <vt:vector size="8" baseType="lpstr">
      <vt:lpstr>User's manual</vt:lpstr>
      <vt:lpstr>Summary</vt:lpstr>
      <vt:lpstr>Low</vt:lpstr>
      <vt:lpstr>Medium</vt:lpstr>
      <vt:lpstr>High</vt:lpstr>
      <vt:lpstr>DataSet 1</vt:lpstr>
      <vt:lpstr>DataSet 2</vt:lpstr>
      <vt:lpstr>Graph Profile</vt:lpstr>
    </vt:vector>
  </TitlesOfParts>
  <Company>INRA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Accuracy Profile for ISO 16140</dc:title>
  <dc:creator>Max Feinberg</dc:creator>
  <cp:lastModifiedBy>MHF</cp:lastModifiedBy>
  <cp:lastPrinted>2016-02-12T12:46:16Z</cp:lastPrinted>
  <dcterms:created xsi:type="dcterms:W3CDTF">2007-10-13T05:40:06Z</dcterms:created>
  <dcterms:modified xsi:type="dcterms:W3CDTF">2016-03-14T11:35:00Z</dcterms:modified>
</cp:coreProperties>
</file>